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105" windowWidth="11970" windowHeight="7260" tabRatio="715" activeTab="0"/>
  </bookViews>
  <sheets>
    <sheet name="standard variables" sheetId="1" r:id="rId1"/>
    <sheet name="additional variables" sheetId="2" r:id="rId2"/>
    <sheet name="agency-specific data" sheetId="3" r:id="rId3"/>
    <sheet name="regional data" sheetId="4" r:id="rId4"/>
  </sheets>
  <definedNames/>
  <calcPr fullCalcOnLoad="1"/>
</workbook>
</file>

<file path=xl/comments1.xml><?xml version="1.0" encoding="utf-8"?>
<comments xmlns="http://schemas.openxmlformats.org/spreadsheetml/2006/main">
  <authors>
    <author>MZES</author>
    <author>MZES072</author>
  </authors>
  <commentList>
    <comment ref="D8" authorId="0">
      <text>
        <r>
          <rPr>
            <b/>
            <sz val="8"/>
            <rFont val="Tahoma"/>
            <family val="2"/>
          </rPr>
          <t>v1ad323:</t>
        </r>
        <r>
          <rPr>
            <sz val="8"/>
            <rFont val="Tahoma"/>
            <family val="0"/>
          </rPr>
          <t xml:space="preserve">
A Data 1: 1923-1937, 1945-1962,
1967-1995
calculated value
A Data 2: 1996
calculated value
</t>
        </r>
      </text>
    </comment>
    <comment ref="E8" authorId="0">
      <text>
        <r>
          <rPr>
            <b/>
            <sz val="8"/>
            <rFont val="Tahoma"/>
            <family val="2"/>
          </rPr>
          <t>v1bd323:</t>
        </r>
        <r>
          <rPr>
            <sz val="8"/>
            <rFont val="Tahoma"/>
            <family val="0"/>
          </rPr>
          <t xml:space="preserve">
A Data 1: 1967-1995
calculated value
A Data 2: 1996
calculated value
</t>
        </r>
      </text>
    </comment>
    <comment ref="F8" authorId="0">
      <text>
        <r>
          <rPr>
            <b/>
            <sz val="8"/>
            <rFont val="Tahoma"/>
            <family val="2"/>
          </rPr>
          <t>v1cd323: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G8" authorId="0">
      <text>
        <r>
          <rPr>
            <b/>
            <sz val="8"/>
            <rFont val="Tahoma"/>
            <family val="2"/>
          </rPr>
          <t>v1dd323: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H8" authorId="0">
      <text>
        <r>
          <rPr>
            <b/>
            <sz val="8"/>
            <rFont val="Tahoma"/>
            <family val="2"/>
          </rPr>
          <t>v1ed323: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K8" authorId="0">
      <text>
        <r>
          <rPr>
            <b/>
            <sz val="8"/>
            <rFont val="Tahoma"/>
            <family val="2"/>
          </rPr>
          <t>v1hd323: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L8" authorId="0">
      <text>
        <r>
          <rPr>
            <b/>
            <sz val="8"/>
            <rFont val="Tahoma"/>
            <family val="2"/>
          </rPr>
          <t>v1id323: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J8" authorId="0">
      <text>
        <r>
          <rPr>
            <b/>
            <sz val="8"/>
            <rFont val="Tahoma"/>
            <family val="2"/>
          </rPr>
          <t>v1gd323:</t>
        </r>
        <r>
          <rPr>
            <sz val="8"/>
            <rFont val="Tahoma"/>
            <family val="0"/>
          </rPr>
          <t xml:space="preserve">
A Data 1: 1967-1995
calculated value
A Data 2: 1996
calculated value
</t>
        </r>
      </text>
    </comment>
    <comment ref="V8" authorId="0">
      <text>
        <r>
          <rPr>
            <b/>
            <sz val="8"/>
            <rFont val="Tahoma"/>
            <family val="2"/>
          </rPr>
          <t>v3ad323:</t>
        </r>
        <r>
          <rPr>
            <sz val="8"/>
            <rFont val="Tahoma"/>
            <family val="0"/>
          </rPr>
          <t xml:space="preserve">
A Data 1: 1967-1971, 1972-1974
calculated value
1975-1995
A Data 2: 1996
</t>
        </r>
      </text>
    </comment>
    <comment ref="W8" authorId="0">
      <text>
        <r>
          <rPr>
            <b/>
            <sz val="8"/>
            <rFont val="Tahoma"/>
            <family val="2"/>
          </rPr>
          <t>v3bd323: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B8" authorId="0">
      <text>
        <r>
          <rPr>
            <b/>
            <sz val="8"/>
            <rFont val="Tahoma"/>
            <family val="2"/>
          </rPr>
          <t>v3gd323:</t>
        </r>
        <r>
          <rPr>
            <sz val="8"/>
            <rFont val="Tahoma"/>
            <family val="0"/>
          </rPr>
          <t xml:space="preserve">
A Data 1: 1967-1971
calculated value
1972-1974, 1975-1995
calculated value
A Data 2: 1996
calculated value
</t>
        </r>
      </text>
    </comment>
    <comment ref="AI8" authorId="0">
      <text>
        <r>
          <rPr>
            <b/>
            <sz val="8"/>
            <rFont val="Tahoma"/>
            <family val="2"/>
          </rPr>
          <t>v6ad323: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AJ8" authorId="0">
      <text>
        <r>
          <rPr>
            <b/>
            <sz val="8"/>
            <rFont val="Tahoma"/>
            <family val="2"/>
          </rPr>
          <t>v6bd323: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AL8" authorId="0">
      <text>
        <r>
          <rPr>
            <b/>
            <sz val="8"/>
            <rFont val="Tahoma"/>
            <family val="2"/>
          </rPr>
          <t>v7ad323:</t>
        </r>
        <r>
          <rPr>
            <sz val="8"/>
            <rFont val="Tahoma"/>
            <family val="0"/>
          </rPr>
          <t xml:space="preserve">
A Data 1: 1923-1937, 1945-1962, 1967-1995
calculated value
A Data 2: 1996
calculated value
</t>
        </r>
      </text>
    </comment>
    <comment ref="AM8" authorId="0">
      <text>
        <r>
          <rPr>
            <b/>
            <sz val="8"/>
            <rFont val="Tahoma"/>
            <family val="2"/>
          </rPr>
          <t>v7bd323:</t>
        </r>
        <r>
          <rPr>
            <sz val="8"/>
            <rFont val="Tahoma"/>
            <family val="0"/>
          </rPr>
          <t xml:space="preserve">
A Data 1: 1967-1995
calculated value
A Data 2: 1996
calculated value
</t>
        </r>
      </text>
    </comment>
    <comment ref="AN8" authorId="0">
      <text>
        <r>
          <rPr>
            <b/>
            <sz val="8"/>
            <rFont val="Tahoma"/>
            <family val="2"/>
          </rPr>
          <t>v7cd323: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O8" authorId="0">
      <text>
        <r>
          <rPr>
            <b/>
            <sz val="8"/>
            <rFont val="Tahoma"/>
            <family val="2"/>
          </rPr>
          <t>v7dd323: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P8" authorId="0">
      <text>
        <r>
          <rPr>
            <b/>
            <sz val="8"/>
            <rFont val="Tahoma"/>
            <family val="2"/>
          </rPr>
          <t>v7ed323: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S8" authorId="0">
      <text>
        <r>
          <rPr>
            <b/>
            <sz val="8"/>
            <rFont val="Tahoma"/>
            <family val="2"/>
          </rPr>
          <t>v7hd323: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T8" authorId="0">
      <text>
        <r>
          <rPr>
            <b/>
            <sz val="8"/>
            <rFont val="Tahoma"/>
            <family val="2"/>
          </rPr>
          <t>v7id323:</t>
        </r>
        <r>
          <rPr>
            <sz val="8"/>
            <rFont val="Tahoma"/>
            <family val="0"/>
          </rPr>
          <t xml:space="preserve">
A Data 1: 1967-1995
A Data 2: 1996
</t>
        </r>
      </text>
    </comment>
    <comment ref="AR8" authorId="0">
      <text>
        <r>
          <rPr>
            <b/>
            <sz val="8"/>
            <rFont val="Tahoma"/>
            <family val="2"/>
          </rPr>
          <t>v7gd323:</t>
        </r>
        <r>
          <rPr>
            <sz val="8"/>
            <rFont val="Tahoma"/>
            <family val="0"/>
          </rPr>
          <t xml:space="preserve">
A Data 1: 1967-1995
calculated value
A Data 2: 1996
calculated value
</t>
        </r>
      </text>
    </comment>
    <comment ref="AU8" authorId="0">
      <text>
        <r>
          <rPr>
            <b/>
            <sz val="8"/>
            <rFont val="Tahoma"/>
            <family val="2"/>
          </rPr>
          <t>v8ad323: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AV8" authorId="0">
      <text>
        <r>
          <rPr>
            <b/>
            <sz val="8"/>
            <rFont val="Tahoma"/>
            <family val="2"/>
          </rPr>
          <t>v8bd323: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AW8" authorId="0">
      <text>
        <r>
          <rPr>
            <b/>
            <sz val="8"/>
            <rFont val="Tahoma"/>
            <family val="2"/>
          </rPr>
          <t>v8cd323: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AX8" authorId="0">
      <text>
        <r>
          <rPr>
            <b/>
            <sz val="8"/>
            <rFont val="Tahoma"/>
            <family val="2"/>
          </rPr>
          <t>v8dd323:</t>
        </r>
        <r>
          <rPr>
            <sz val="8"/>
            <rFont val="Tahoma"/>
            <family val="0"/>
          </rPr>
          <t xml:space="preserve">
A Data 1: 1972-1995
A Data 2: 1996
</t>
        </r>
      </text>
    </comment>
    <comment ref="D7" authorId="0">
      <text>
        <r>
          <rPr>
            <b/>
            <sz val="8"/>
            <rFont val="Tahoma"/>
            <family val="2"/>
          </rPr>
          <t>total number of childcare institutions:</t>
        </r>
        <r>
          <rPr>
            <sz val="8"/>
            <rFont val="Tahoma"/>
            <family val="0"/>
          </rPr>
          <t xml:space="preserve">
For the years 1924 and 1926 total number of institutions is estimated in source A_Data 1.
</t>
        </r>
      </text>
    </comment>
    <comment ref="AL7" authorId="0">
      <text>
        <r>
          <rPr>
            <b/>
            <sz val="8"/>
            <rFont val="Tahoma"/>
            <family val="2"/>
          </rPr>
          <t>total number of children in all institutions:</t>
        </r>
        <r>
          <rPr>
            <sz val="8"/>
            <rFont val="Tahoma"/>
            <family val="0"/>
          </rPr>
          <t xml:space="preserve">
For the year 1924 number of children is estimated in source A_Data 1.
</t>
        </r>
      </text>
    </comment>
    <comment ref="BB8" authorId="1">
      <text>
        <r>
          <rPr>
            <b/>
            <sz val="8"/>
            <rFont val="Tahoma"/>
            <family val="0"/>
          </rPr>
          <t xml:space="preserve">v9dd323:
</t>
        </r>
        <r>
          <rPr>
            <sz val="8"/>
            <rFont val="Tahoma"/>
            <family val="2"/>
          </rPr>
          <t>A Info 7: 1993-1996</t>
        </r>
        <r>
          <rPr>
            <sz val="8"/>
            <rFont val="Tahoma"/>
            <family val="0"/>
          </rPr>
          <t xml:space="preserve">
</t>
        </r>
      </text>
    </comment>
    <comment ref="BC8" authorId="0">
      <text>
        <r>
          <rPr>
            <b/>
            <sz val="8"/>
            <rFont val="Tahoma"/>
            <family val="0"/>
          </rPr>
          <t>v9ed323:</t>
        </r>
        <r>
          <rPr>
            <sz val="8"/>
            <rFont val="Tahoma"/>
            <family val="0"/>
          </rPr>
          <t xml:space="preserve">
A Info 7: 1993-1996</t>
        </r>
      </text>
    </comment>
    <comment ref="AZ8" authorId="0">
      <text>
        <r>
          <rPr>
            <b/>
            <sz val="8"/>
            <rFont val="Tahoma"/>
            <family val="0"/>
          </rPr>
          <t>v9bd323:</t>
        </r>
        <r>
          <rPr>
            <sz val="8"/>
            <rFont val="Tahoma"/>
            <family val="0"/>
          </rPr>
          <t xml:space="preserve">
calculated value</t>
        </r>
      </text>
    </comment>
  </commentList>
</comments>
</file>

<file path=xl/comments2.xml><?xml version="1.0" encoding="utf-8"?>
<comments xmlns="http://schemas.openxmlformats.org/spreadsheetml/2006/main">
  <authors>
    <author>MZES</author>
    <author>mzes</author>
  </authors>
  <commentList>
    <comment ref="D8" authorId="0">
      <text>
        <r>
          <rPr>
            <b/>
            <sz val="8"/>
            <rFont val="Tahoma"/>
            <family val="2"/>
          </rPr>
          <t>v1ad323:</t>
        </r>
        <r>
          <rPr>
            <sz val="8"/>
            <rFont val="Tahoma"/>
            <family val="0"/>
          </rPr>
          <t xml:space="preserve">
A Data 1: 1923-1937, 1945-1962,
1967-1995
calculated value
A Data 2: 1996
calculated value
</t>
        </r>
      </text>
    </comment>
    <comment ref="E8" authorId="0">
      <text>
        <r>
          <rPr>
            <sz val="8"/>
            <rFont val="Tahoma"/>
            <family val="0"/>
          </rPr>
          <t xml:space="preserve">
A Data 1: 1967-1971, 1980-1995
</t>
        </r>
      </text>
    </comment>
    <comment ref="G8" authorId="0">
      <text>
        <r>
          <rPr>
            <sz val="8"/>
            <rFont val="Tahoma"/>
            <family val="0"/>
          </rPr>
          <t xml:space="preserve">
A Data 1: 1967-1971, 1981-1995
</t>
        </r>
      </text>
    </comment>
    <comment ref="H8" authorId="0">
      <text>
        <r>
          <rPr>
            <sz val="8"/>
            <rFont val="Tahoma"/>
            <family val="0"/>
          </rPr>
          <t xml:space="preserve">
A Data 1: 1967-1971, 
</t>
        </r>
      </text>
    </comment>
    <comment ref="I8" authorId="0">
      <text>
        <r>
          <rPr>
            <sz val="8"/>
            <rFont val="Tahoma"/>
            <family val="0"/>
          </rPr>
          <t xml:space="preserve">
A Data 1: 1995
</t>
        </r>
      </text>
    </comment>
    <comment ref="Q8" authorId="0">
      <text>
        <r>
          <rPr>
            <sz val="8"/>
            <rFont val="Tahoma"/>
            <family val="0"/>
          </rPr>
          <t xml:space="preserve">
A Data 1: 1945-1962, 1967-1995
calculated value
A Data 2: 1996
calculated value
</t>
        </r>
      </text>
    </comment>
    <comment ref="R8" authorId="0">
      <text>
        <r>
          <rPr>
            <sz val="8"/>
            <rFont val="Tahoma"/>
            <family val="0"/>
          </rPr>
          <t xml:space="preserve">
A Data 1: 1948-1962, 1967-1995
A Data 2: 1996
</t>
        </r>
      </text>
    </comment>
    <comment ref="S8" authorId="0">
      <text>
        <r>
          <rPr>
            <sz val="8"/>
            <rFont val="Tahoma"/>
            <family val="0"/>
          </rPr>
          <t xml:space="preserve">
A Data 1: 1967-1995
A Data 2: 1996
</t>
        </r>
      </text>
    </comment>
    <comment ref="T8" authorId="0">
      <text>
        <r>
          <rPr>
            <sz val="8"/>
            <rFont val="Tahoma"/>
            <family val="0"/>
          </rPr>
          <t xml:space="preserve">
A Data 1: 1967-1995
A Data 2: 1996
</t>
        </r>
      </text>
    </comment>
    <comment ref="U8" authorId="0">
      <text>
        <r>
          <rPr>
            <sz val="8"/>
            <rFont val="Tahoma"/>
            <family val="0"/>
          </rPr>
          <t xml:space="preserve">
A Data 1: 1967-1995
A Data 2: 1996
</t>
        </r>
      </text>
    </comment>
    <comment ref="P8" authorId="0">
      <text>
        <r>
          <rPr>
            <b/>
            <sz val="8"/>
            <rFont val="Tahoma"/>
            <family val="2"/>
          </rPr>
          <t>v3ad323:</t>
        </r>
        <r>
          <rPr>
            <sz val="8"/>
            <rFont val="Tahoma"/>
            <family val="0"/>
          </rPr>
          <t xml:space="preserve">
A Data 1: 1967-1971, 1972-1974
calculated value
1975-1995
A Data 2: 1996
</t>
        </r>
      </text>
    </comment>
    <comment ref="E7" authorId="1">
      <text>
        <r>
          <rPr>
            <b/>
            <sz val="8"/>
            <rFont val="Tahoma"/>
            <family val="2"/>
          </rPr>
          <t>general kindergardens:</t>
        </r>
        <r>
          <rPr>
            <sz val="8"/>
            <rFont val="Tahoma"/>
            <family val="0"/>
          </rPr>
          <t xml:space="preserve">
terminology: 
general kindergardens: </t>
        </r>
        <r>
          <rPr>
            <i/>
            <sz val="8"/>
            <rFont val="Tahoma"/>
            <family val="2"/>
          </rPr>
          <t>allgemeine Kindergärten</t>
        </r>
        <r>
          <rPr>
            <sz val="8"/>
            <rFont val="Tahoma"/>
            <family val="0"/>
          </rPr>
          <t xml:space="preserve">
</t>
        </r>
      </text>
    </comment>
    <comment ref="G7" authorId="1">
      <text>
        <r>
          <rPr>
            <b/>
            <sz val="8"/>
            <rFont val="Tahoma"/>
            <family val="2"/>
          </rPr>
          <t>kindergartens offering professional training:</t>
        </r>
        <r>
          <rPr>
            <sz val="8"/>
            <rFont val="Tahoma"/>
            <family val="0"/>
          </rPr>
          <t xml:space="preserve">
terminology:  
kindergartens offering professional training: </t>
        </r>
        <r>
          <rPr>
            <i/>
            <sz val="8"/>
            <rFont val="Tahoma"/>
            <family val="2"/>
          </rPr>
          <t>Übungskindergärten</t>
        </r>
      </text>
    </comment>
    <comment ref="H7" authorId="1">
      <text>
        <r>
          <rPr>
            <b/>
            <sz val="8"/>
            <rFont val="Tahoma"/>
            <family val="2"/>
          </rPr>
          <t>kindergartens offering the possibility of sitting in on practical training</t>
        </r>
        <r>
          <rPr>
            <sz val="8"/>
            <rFont val="Tahoma"/>
            <family val="0"/>
          </rPr>
          <t xml:space="preserve">: 
terminology: 
kindergartens offering the possibility of sitting in on practical training:  </t>
        </r>
        <r>
          <rPr>
            <i/>
            <sz val="8"/>
            <rFont val="Tahoma"/>
            <family val="2"/>
          </rPr>
          <t>Hospitierkindergärten</t>
        </r>
      </text>
    </comment>
    <comment ref="I7" authorId="1">
      <text>
        <r>
          <rPr>
            <b/>
            <sz val="8"/>
            <rFont val="Tahoma"/>
            <family val="2"/>
          </rPr>
          <t>kindergartens for both handicapped and not handicapped children:</t>
        </r>
        <r>
          <rPr>
            <sz val="8"/>
            <rFont val="Tahoma"/>
            <family val="0"/>
          </rPr>
          <t xml:space="preserve">
terminology: 
kindergartens for both handicapped and not handicapped children:  </t>
        </r>
        <r>
          <rPr>
            <i/>
            <sz val="8"/>
            <rFont val="Tahoma"/>
            <family val="2"/>
          </rPr>
          <t>Integrationskindergärten</t>
        </r>
      </text>
    </comment>
    <comment ref="J7" authorId="0">
      <text>
        <r>
          <rPr>
            <b/>
            <sz val="8"/>
            <rFont val="Tahoma"/>
            <family val="2"/>
          </rPr>
          <t>total number of childcare institutions:</t>
        </r>
        <r>
          <rPr>
            <sz val="8"/>
            <rFont val="Tahoma"/>
            <family val="0"/>
          </rPr>
          <t xml:space="preserve">
For the years 1924 and 1926 total number of institutions is estimated in source A_Data 1.
</t>
        </r>
      </text>
    </comment>
    <comment ref="J8" authorId="0">
      <text>
        <r>
          <rPr>
            <b/>
            <sz val="8"/>
            <rFont val="Tahoma"/>
            <family val="2"/>
          </rPr>
          <t>v1ad323:</t>
        </r>
        <r>
          <rPr>
            <sz val="8"/>
            <rFont val="Tahoma"/>
            <family val="0"/>
          </rPr>
          <t xml:space="preserve">
A Data 1: 1923-1937, 1945-1962,
1967-1995
calculated value
A Data 2: 1996
calculated value
</t>
        </r>
      </text>
    </comment>
    <comment ref="K7" authorId="1">
      <text>
        <r>
          <rPr>
            <b/>
            <sz val="8"/>
            <rFont val="Tahoma"/>
            <family val="2"/>
          </rPr>
          <t>kindergartens open on a full-day basis:</t>
        </r>
        <r>
          <rPr>
            <sz val="8"/>
            <rFont val="Tahoma"/>
            <family val="0"/>
          </rPr>
          <t xml:space="preserve">
terminology: 
kindergartens open on a full-day basis:  </t>
        </r>
        <r>
          <rPr>
            <i/>
            <sz val="8"/>
            <rFont val="Tahoma"/>
            <family val="2"/>
          </rPr>
          <t>Ganztageskindergärten</t>
        </r>
      </text>
    </comment>
    <comment ref="L7" authorId="1">
      <text>
        <r>
          <rPr>
            <b/>
            <sz val="8"/>
            <rFont val="Tahoma"/>
            <family val="2"/>
          </rPr>
          <t>kindergartens with a daily four to five hours session:</t>
        </r>
        <r>
          <rPr>
            <sz val="8"/>
            <rFont val="Tahoma"/>
            <family val="0"/>
          </rPr>
          <t xml:space="preserve">
terminology: 
kindergartens with a daily four to five hours session:  </t>
        </r>
        <r>
          <rPr>
            <i/>
            <sz val="8"/>
            <rFont val="Tahoma"/>
            <family val="2"/>
          </rPr>
          <t>Halbtageskindergärten</t>
        </r>
      </text>
    </comment>
    <comment ref="M7" authorId="1">
      <text>
        <r>
          <rPr>
            <b/>
            <sz val="8"/>
            <rFont val="Tahoma"/>
            <family val="2"/>
          </rPr>
          <t>kindergartens open all months of the year:</t>
        </r>
        <r>
          <rPr>
            <sz val="8"/>
            <rFont val="Tahoma"/>
            <family val="0"/>
          </rPr>
          <t xml:space="preserve">
terminology: 
kindergartens open all months of the year:  </t>
        </r>
        <r>
          <rPr>
            <i/>
            <sz val="8"/>
            <rFont val="Tahoma"/>
            <family val="2"/>
          </rPr>
          <t>Ganzjahreskindergärten</t>
        </r>
      </text>
    </comment>
    <comment ref="N7" authorId="1">
      <text>
        <r>
          <rPr>
            <b/>
            <sz val="8"/>
            <rFont val="Tahoma"/>
            <family val="2"/>
          </rPr>
          <t>kindergartens open seasonally:</t>
        </r>
        <r>
          <rPr>
            <sz val="8"/>
            <rFont val="Tahoma"/>
            <family val="0"/>
          </rPr>
          <t xml:space="preserve">
terminology: 
kindergartens open seasonally:  </t>
        </r>
        <r>
          <rPr>
            <i/>
            <sz val="8"/>
            <rFont val="Tahoma"/>
            <family val="2"/>
          </rPr>
          <t>Saisonkindergärten</t>
        </r>
        <r>
          <rPr>
            <sz val="8"/>
            <rFont val="Tahoma"/>
            <family val="0"/>
          </rPr>
          <t xml:space="preserve">
</t>
        </r>
      </text>
    </comment>
    <comment ref="O7" authorId="1">
      <text>
        <r>
          <rPr>
            <b/>
            <sz val="8"/>
            <rFont val="Tahoma"/>
            <family val="2"/>
          </rPr>
          <t>kindergartens open during the harvest season:</t>
        </r>
        <r>
          <rPr>
            <sz val="8"/>
            <rFont val="Tahoma"/>
            <family val="0"/>
          </rPr>
          <t xml:space="preserve">
terminology: 
kindergartens open during the harvest season:  </t>
        </r>
        <r>
          <rPr>
            <i/>
            <sz val="8"/>
            <rFont val="Tahoma"/>
            <family val="2"/>
          </rPr>
          <t>Erntekindergärten</t>
        </r>
      </text>
    </comment>
    <comment ref="F7" authorId="1">
      <text>
        <r>
          <rPr>
            <b/>
            <sz val="8"/>
            <rFont val="Tahoma"/>
            <family val="2"/>
          </rPr>
          <t xml:space="preserve">special kindergartens for handicapped children:
</t>
        </r>
        <r>
          <rPr>
            <sz val="8"/>
            <rFont val="Tahoma"/>
            <family val="2"/>
          </rPr>
          <t xml:space="preserve">terminology: 
special kindergartens for handicapped children: </t>
        </r>
        <r>
          <rPr>
            <i/>
            <sz val="8"/>
            <rFont val="Tahoma"/>
            <family val="2"/>
          </rPr>
          <t>Sonderkindergärten</t>
        </r>
        <r>
          <rPr>
            <sz val="8"/>
            <rFont val="Tahoma"/>
            <family val="0"/>
          </rPr>
          <t xml:space="preserve">
</t>
        </r>
      </text>
    </comment>
    <comment ref="R7" authorId="1">
      <text>
        <r>
          <rPr>
            <b/>
            <sz val="8"/>
            <rFont val="Tahoma"/>
            <family val="0"/>
          </rPr>
          <t>personel with vocational training certificate:</t>
        </r>
        <r>
          <rPr>
            <sz val="8"/>
            <rFont val="Tahoma"/>
            <family val="0"/>
          </rPr>
          <t xml:space="preserve">
terminology: 
personel with vocational training certificate:  </t>
        </r>
        <r>
          <rPr>
            <i/>
            <sz val="8"/>
            <rFont val="Tahoma"/>
            <family val="2"/>
          </rPr>
          <t>Personal mit Befähigungszeugnis</t>
        </r>
      </text>
    </comment>
    <comment ref="F8" authorId="0">
      <text>
        <r>
          <rPr>
            <sz val="8"/>
            <rFont val="Tahoma"/>
            <family val="0"/>
          </rPr>
          <t xml:space="preserve">
A Data 1: 1967-1971, 1980-1995
</t>
        </r>
      </text>
    </comment>
    <comment ref="K8" authorId="0">
      <text>
        <r>
          <rPr>
            <sz val="8"/>
            <rFont val="Tahoma"/>
            <family val="0"/>
          </rPr>
          <t xml:space="preserve">
A Data 1: 1969-1972</t>
        </r>
      </text>
    </comment>
    <comment ref="L8" authorId="0">
      <text>
        <r>
          <rPr>
            <sz val="8"/>
            <rFont val="Tahoma"/>
            <family val="0"/>
          </rPr>
          <t xml:space="preserve">
A Data 1: 1969-1972</t>
        </r>
      </text>
    </comment>
    <comment ref="M8" authorId="0">
      <text>
        <r>
          <rPr>
            <sz val="8"/>
            <rFont val="Tahoma"/>
            <family val="0"/>
          </rPr>
          <t xml:space="preserve">
A Data 1: 1969-1972</t>
        </r>
      </text>
    </comment>
    <comment ref="N8" authorId="0">
      <text>
        <r>
          <rPr>
            <sz val="8"/>
            <rFont val="Tahoma"/>
            <family val="0"/>
          </rPr>
          <t xml:space="preserve">
A Data 1: 1969-1972</t>
        </r>
      </text>
    </comment>
    <comment ref="O8" authorId="0">
      <text>
        <r>
          <rPr>
            <sz val="8"/>
            <rFont val="Tahoma"/>
            <family val="0"/>
          </rPr>
          <t xml:space="preserve">
A Data 1: 1969</t>
        </r>
      </text>
    </comment>
  </commentList>
</comments>
</file>

<file path=xl/comments3.xml><?xml version="1.0" encoding="utf-8"?>
<comments xmlns="http://schemas.openxmlformats.org/spreadsheetml/2006/main">
  <authors>
    <author>MZES</author>
    <author>mzes</author>
  </authors>
  <commentList>
    <comment ref="F8" authorId="0">
      <text>
        <r>
          <rPr>
            <sz val="8"/>
            <rFont val="Tahoma"/>
            <family val="0"/>
          </rPr>
          <t xml:space="preserve">
A Data 1: 1967-1995
</t>
        </r>
      </text>
    </comment>
    <comment ref="G8" authorId="0">
      <text>
        <r>
          <rPr>
            <sz val="8"/>
            <rFont val="Tahoma"/>
            <family val="0"/>
          </rPr>
          <t xml:space="preserve">
A Data 1: 1967-1995
</t>
        </r>
      </text>
    </comment>
    <comment ref="H8" authorId="0">
      <text>
        <r>
          <rPr>
            <sz val="8"/>
            <rFont val="Tahoma"/>
            <family val="0"/>
          </rPr>
          <t xml:space="preserve">
A Data 1: 1967-1995
</t>
        </r>
      </text>
    </comment>
    <comment ref="I8" authorId="0">
      <text>
        <r>
          <rPr>
            <sz val="8"/>
            <rFont val="Tahoma"/>
            <family val="0"/>
          </rPr>
          <t xml:space="preserve">
A Data 1: 1967-1995
</t>
        </r>
      </text>
    </comment>
    <comment ref="D8" authorId="0">
      <text>
        <r>
          <rPr>
            <b/>
            <sz val="8"/>
            <rFont val="Tahoma"/>
            <family val="2"/>
          </rPr>
          <t>v1ad323:</t>
        </r>
        <r>
          <rPr>
            <sz val="8"/>
            <rFont val="Tahoma"/>
            <family val="0"/>
          </rPr>
          <t xml:space="preserve">
A Data 1: 1923-1937, 1945-1962,
1967-1995
calculated value
A Data 2: 1996
calculated value
</t>
        </r>
      </text>
    </comment>
    <comment ref="E8" authorId="0">
      <text>
        <r>
          <rPr>
            <b/>
            <sz val="8"/>
            <rFont val="Tahoma"/>
            <family val="2"/>
          </rPr>
          <t>v1bd323:</t>
        </r>
        <r>
          <rPr>
            <sz val="8"/>
            <rFont val="Tahoma"/>
            <family val="0"/>
          </rPr>
          <t xml:space="preserve">
A Data 1: 1967-1995
calculated value
A Data 2: 1996
calculated value
</t>
        </r>
      </text>
    </comment>
    <comment ref="H7" authorId="1">
      <text>
        <r>
          <rPr>
            <b/>
            <sz val="8"/>
            <rFont val="Tahoma"/>
            <family val="0"/>
          </rPr>
          <t>run by enterprises:</t>
        </r>
        <r>
          <rPr>
            <sz val="8"/>
            <rFont val="Tahoma"/>
            <family val="0"/>
          </rPr>
          <t xml:space="preserve">
terminology: 
(for-profit) enterprises:  </t>
        </r>
        <r>
          <rPr>
            <i/>
            <sz val="8"/>
            <rFont val="Tahoma"/>
            <family val="2"/>
          </rPr>
          <t>Betriebe</t>
        </r>
      </text>
    </comment>
    <comment ref="I7" authorId="1">
      <text>
        <r>
          <rPr>
            <b/>
            <sz val="8"/>
            <rFont val="Tahoma"/>
            <family val="0"/>
          </rPr>
          <t>run by associations:</t>
        </r>
        <r>
          <rPr>
            <sz val="8"/>
            <rFont val="Tahoma"/>
            <family val="0"/>
          </rPr>
          <t xml:space="preserve">
terminology: 
(private) associations:  </t>
        </r>
        <r>
          <rPr>
            <i/>
            <sz val="8"/>
            <rFont val="Tahoma"/>
            <family val="2"/>
          </rPr>
          <t>Vereine</t>
        </r>
      </text>
    </comment>
    <comment ref="J8" authorId="0">
      <text>
        <r>
          <rPr>
            <sz val="8"/>
            <rFont val="Tahoma"/>
            <family val="0"/>
          </rPr>
          <t xml:space="preserve">
A Data 1: 1967-1995
</t>
        </r>
      </text>
    </comment>
    <comment ref="K8" authorId="0">
      <text>
        <r>
          <rPr>
            <sz val="8"/>
            <rFont val="Tahoma"/>
            <family val="0"/>
          </rPr>
          <t xml:space="preserve">
A Data 1: 1967-1995
</t>
        </r>
      </text>
    </comment>
  </commentList>
</comments>
</file>

<file path=xl/comments4.xml><?xml version="1.0" encoding="utf-8"?>
<comments xmlns="http://schemas.openxmlformats.org/spreadsheetml/2006/main">
  <authors>
    <author>MZES</author>
  </authors>
  <commentList>
    <comment ref="E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F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G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H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I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J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K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L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M8" authorId="0">
      <text>
        <r>
          <rPr>
            <sz val="8"/>
            <rFont val="Tahoma"/>
            <family val="0"/>
          </rPr>
          <t xml:space="preserve">
A_Data 1: 1923-1937, 1945-1962, 1967-1995
A_Data 2: 1996
</t>
        </r>
      </text>
    </comment>
    <comment ref="O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P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Q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R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S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T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U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V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W8" authorId="0">
      <text>
        <r>
          <rPr>
            <sz val="8"/>
            <rFont val="Tahoma"/>
            <family val="0"/>
          </rPr>
          <t xml:space="preserve">
A_Data 1: 1923-1937, 1952-1962, 1967-1995
A_Data 2: 1996
</t>
        </r>
      </text>
    </comment>
    <comment ref="N8" authorId="0">
      <text>
        <r>
          <rPr>
            <sz val="8"/>
            <rFont val="Tahoma"/>
            <family val="0"/>
          </rPr>
          <t xml:space="preserve">
A_Data 1: 1923-1937, 1952-1962, 1967-1995
calculated value
A_Data 2: 1996
</t>
        </r>
      </text>
    </comment>
    <comment ref="Y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Z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A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B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C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D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E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F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AG8" authorId="0">
      <text>
        <r>
          <rPr>
            <sz val="8"/>
            <rFont val="Tahoma"/>
            <family val="0"/>
          </rPr>
          <t xml:space="preserve">
A_Data 1: 1923-1937, 1945-1962, 1967-1995 
A_Data 2: 1996
</t>
        </r>
      </text>
    </comment>
    <comment ref="O7" authorId="0">
      <text>
        <r>
          <rPr>
            <b/>
            <sz val="8"/>
            <rFont val="Tahoma"/>
            <family val="2"/>
          </rPr>
          <t>number of classes/groups in Burgenland:</t>
        </r>
        <r>
          <rPr>
            <sz val="8"/>
            <rFont val="Tahoma"/>
            <family val="0"/>
          </rPr>
          <t xml:space="preserve">
For the year 1936 and 1937 number of groups is estimated in source A_Data 1
</t>
        </r>
      </text>
    </comment>
    <comment ref="P7" authorId="0">
      <text>
        <r>
          <rPr>
            <b/>
            <sz val="8"/>
            <rFont val="Tahoma"/>
            <family val="2"/>
          </rPr>
          <t>number of classes/groups in Kärnten:</t>
        </r>
        <r>
          <rPr>
            <sz val="8"/>
            <rFont val="Tahoma"/>
            <family val="0"/>
          </rPr>
          <t xml:space="preserve">
For the years 1923, 1924, 1936 and 1937 number of groups is estimated in source A_Data 1.
</t>
        </r>
      </text>
    </comment>
    <comment ref="Q7" authorId="0">
      <text>
        <r>
          <rPr>
            <b/>
            <sz val="8"/>
            <rFont val="Tahoma"/>
            <family val="2"/>
          </rPr>
          <t>number of classes/groups in Niederösterreich:</t>
        </r>
        <r>
          <rPr>
            <sz val="8"/>
            <rFont val="Tahoma"/>
            <family val="0"/>
          </rPr>
          <t xml:space="preserve">
For the years 1923, 1936 and 1937 number of groups is estimated in source A_Data 1.
</t>
        </r>
      </text>
    </comment>
    <comment ref="R7" authorId="0">
      <text>
        <r>
          <rPr>
            <b/>
            <sz val="8"/>
            <rFont val="Tahoma"/>
            <family val="2"/>
          </rPr>
          <t>number of classes/groups in Oberösterreich:</t>
        </r>
        <r>
          <rPr>
            <sz val="8"/>
            <rFont val="Tahoma"/>
            <family val="0"/>
          </rPr>
          <t xml:space="preserve">
For the years 1923, 1936 and 1937 number of groups is estimated in source A_Data 1.
</t>
        </r>
      </text>
    </comment>
    <comment ref="S7" authorId="0">
      <text>
        <r>
          <rPr>
            <b/>
            <sz val="8"/>
            <rFont val="Tahoma"/>
            <family val="2"/>
          </rPr>
          <t>number of classes/groups in Salzburg:</t>
        </r>
        <r>
          <rPr>
            <sz val="8"/>
            <rFont val="Tahoma"/>
            <family val="0"/>
          </rPr>
          <t xml:space="preserve">
For the years 1923, 1924, 1936 and 1937 number of groups is estimated in source A_Data 1.
</t>
        </r>
      </text>
    </comment>
    <comment ref="T7" authorId="0">
      <text>
        <r>
          <rPr>
            <b/>
            <sz val="8"/>
            <rFont val="Tahoma"/>
            <family val="2"/>
          </rPr>
          <t>number of classes/groups in Steiermark:</t>
        </r>
        <r>
          <rPr>
            <sz val="8"/>
            <rFont val="Tahoma"/>
            <family val="0"/>
          </rPr>
          <t xml:space="preserve">
For the years 1923, 1924, 1936 and 1937 number of groups is estimated in source A_Data 1.
</t>
        </r>
      </text>
    </comment>
    <comment ref="U7" authorId="0">
      <text>
        <r>
          <rPr>
            <b/>
            <sz val="8"/>
            <rFont val="Tahoma"/>
            <family val="2"/>
          </rPr>
          <t>number of classes/groups in Tirol:</t>
        </r>
        <r>
          <rPr>
            <sz val="8"/>
            <rFont val="Tahoma"/>
            <family val="0"/>
          </rPr>
          <t xml:space="preserve">
For the years 1923, 1936 and 1937 number of groups is estimated in source A_Data 1.
</t>
        </r>
      </text>
    </comment>
    <comment ref="V7" authorId="0">
      <text>
        <r>
          <rPr>
            <b/>
            <sz val="8"/>
            <rFont val="Tahoma"/>
            <family val="2"/>
          </rPr>
          <t>number of classes/groups in Vorarlberg:</t>
        </r>
        <r>
          <rPr>
            <sz val="8"/>
            <rFont val="Tahoma"/>
            <family val="0"/>
          </rPr>
          <t xml:space="preserve">
For the years 1923, 1936 and 1937 number of groups is estimated in source A_Data 1.
</t>
        </r>
      </text>
    </comment>
    <comment ref="W7" authorId="0">
      <text>
        <r>
          <rPr>
            <b/>
            <sz val="8"/>
            <rFont val="Tahoma"/>
            <family val="2"/>
          </rPr>
          <t>number of classes/groups in Wien:</t>
        </r>
        <r>
          <rPr>
            <sz val="8"/>
            <rFont val="Tahoma"/>
            <family val="0"/>
          </rPr>
          <t xml:space="preserve">
For the years 1923, 1936 and 1937 number of groups is estimated in source A_Data 1.
</t>
        </r>
      </text>
    </comment>
    <comment ref="Z7" authorId="0">
      <text>
        <r>
          <rPr>
            <b/>
            <sz val="8"/>
            <rFont val="Tahoma"/>
            <family val="2"/>
          </rPr>
          <t>children enrolled in childcare institutions in Kärnten:</t>
        </r>
        <r>
          <rPr>
            <sz val="8"/>
            <rFont val="Tahoma"/>
            <family val="0"/>
          </rPr>
          <t xml:space="preserve">
For the year 1924 number of children is estimated in source A_Data 1.
</t>
        </r>
      </text>
    </comment>
    <comment ref="D8" authorId="0">
      <text>
        <r>
          <rPr>
            <b/>
            <sz val="8"/>
            <rFont val="Tahoma"/>
            <family val="2"/>
          </rPr>
          <t>v1ad323:</t>
        </r>
        <r>
          <rPr>
            <sz val="8"/>
            <rFont val="Tahoma"/>
            <family val="0"/>
          </rPr>
          <t xml:space="preserve">
A_Data 1: 1923-1937, 1945-1962
1967-1995
calculated value
A_Data 2: 1996
calculated value
</t>
        </r>
      </text>
    </comment>
    <comment ref="X8" authorId="0">
      <text>
        <r>
          <rPr>
            <b/>
            <sz val="8"/>
            <rFont val="Tahoma"/>
            <family val="2"/>
          </rPr>
          <t>v7ad323:</t>
        </r>
        <r>
          <rPr>
            <sz val="8"/>
            <rFont val="Tahoma"/>
            <family val="0"/>
          </rPr>
          <t xml:space="preserve">
A_Data 1: 1923-1937, 1945-1962, 1967-1995
calculated value
A_Data 2: 1996
calculated value
</t>
        </r>
      </text>
    </comment>
  </commentList>
</comments>
</file>

<file path=xl/sharedStrings.xml><?xml version="1.0" encoding="utf-8"?>
<sst xmlns="http://schemas.openxmlformats.org/spreadsheetml/2006/main" count="878" uniqueCount="173">
  <si>
    <t>by employment contract</t>
  </si>
  <si>
    <t>by working time</t>
  </si>
  <si>
    <t>by age-groups structured by the education system</t>
  </si>
  <si>
    <t>total number of institutions</t>
  </si>
  <si>
    <t>run by public agencies</t>
  </si>
  <si>
    <t>run by central state</t>
  </si>
  <si>
    <t>run by regional territorial authorities</t>
  </si>
  <si>
    <t>run by local territorial authorities</t>
  </si>
  <si>
    <t>run by special public agencies or social security funds</t>
  </si>
  <si>
    <t>run by private agencies</t>
  </si>
  <si>
    <t>in all institutions</t>
  </si>
  <si>
    <t>regularly employed personnel</t>
  </si>
  <si>
    <t>freelance or voluntary work</t>
  </si>
  <si>
    <t>paid personnel</t>
  </si>
  <si>
    <t>unpaid personnel</t>
  </si>
  <si>
    <t>full-time employed personnel</t>
  </si>
  <si>
    <t>part-time employed personnel</t>
  </si>
  <si>
    <t>minimally or irregularly employed personnel</t>
  </si>
  <si>
    <t>under pre-primary school age (0 to 2 or 3 years)</t>
  </si>
  <si>
    <t>pre-primary school-aged children (2 or 3 to 5, 6 or 7 years)</t>
  </si>
  <si>
    <t>primary school-aged children (5, 6 or 7 to 10, 11 or 12 years)</t>
  </si>
  <si>
    <t>secondary school-aged children (10, 11 or 12 years and older)</t>
  </si>
  <si>
    <t>by public agencies</t>
  </si>
  <si>
    <t>by central state</t>
  </si>
  <si>
    <t>by regional territorial authorities</t>
  </si>
  <si>
    <t>by local territorial authorities</t>
  </si>
  <si>
    <t>by special public agencies or social security funds</t>
  </si>
  <si>
    <t>by private agencies</t>
  </si>
  <si>
    <t>total current expenditure</t>
  </si>
  <si>
    <t>for personnel</t>
  </si>
  <si>
    <t>for administrative costs</t>
  </si>
  <si>
    <t>other current expenditure</t>
  </si>
  <si>
    <t>total receipts</t>
  </si>
  <si>
    <t>year</t>
  </si>
  <si>
    <t>ccode</t>
  </si>
  <si>
    <t>mcode</t>
  </si>
  <si>
    <t>v1ad323</t>
  </si>
  <si>
    <t>v1bd323</t>
  </si>
  <si>
    <t>v1cd323</t>
  </si>
  <si>
    <t>v1dd323</t>
  </si>
  <si>
    <t>v1ed323</t>
  </si>
  <si>
    <t>v1fd323</t>
  </si>
  <si>
    <t>v1gd323</t>
  </si>
  <si>
    <t>v1hd323</t>
  </si>
  <si>
    <t>v1id323</t>
  </si>
  <si>
    <t>v2ad323</t>
  </si>
  <si>
    <t>v2bd323</t>
  </si>
  <si>
    <t>v2cd323</t>
  </si>
  <si>
    <t>v2dd323</t>
  </si>
  <si>
    <t>v2ed323</t>
  </si>
  <si>
    <t>v2fd323</t>
  </si>
  <si>
    <t>v2gd323</t>
  </si>
  <si>
    <t>v2hd323</t>
  </si>
  <si>
    <t>v2id323</t>
  </si>
  <si>
    <t>v3ad323</t>
  </si>
  <si>
    <t>v3bd323</t>
  </si>
  <si>
    <t>v3cd323</t>
  </si>
  <si>
    <t>v3dd323</t>
  </si>
  <si>
    <t>v3ed323</t>
  </si>
  <si>
    <t>v3fd323</t>
  </si>
  <si>
    <t>v3gd323</t>
  </si>
  <si>
    <t>v3hd323</t>
  </si>
  <si>
    <t>v3id323</t>
  </si>
  <si>
    <t>v4ad323</t>
  </si>
  <si>
    <t>v4bd323</t>
  </si>
  <si>
    <t>v5ad323</t>
  </si>
  <si>
    <t>v5bd323</t>
  </si>
  <si>
    <t>v6ad323</t>
  </si>
  <si>
    <t>v6bd323</t>
  </si>
  <si>
    <t>v6cd323</t>
  </si>
  <si>
    <t>v7ad323</t>
  </si>
  <si>
    <t>v7bd323</t>
  </si>
  <si>
    <t>v7cd323</t>
  </si>
  <si>
    <t>v7dd323</t>
  </si>
  <si>
    <t>v7ed323</t>
  </si>
  <si>
    <t>v7fd323</t>
  </si>
  <si>
    <t>v7gd323</t>
  </si>
  <si>
    <t>v7hd323</t>
  </si>
  <si>
    <t>v7id323</t>
  </si>
  <si>
    <t>v8ad323</t>
  </si>
  <si>
    <t>v8bd323</t>
  </si>
  <si>
    <t>v8cd323</t>
  </si>
  <si>
    <t>v8dd323</t>
  </si>
  <si>
    <t>v9ad323</t>
  </si>
  <si>
    <t>v9bd323</t>
  </si>
  <si>
    <t>v9cd323</t>
  </si>
  <si>
    <t>v9dd323</t>
  </si>
  <si>
    <t>v9ed323</t>
  </si>
  <si>
    <t>v9fd323</t>
  </si>
  <si>
    <t>v9gd323</t>
  </si>
  <si>
    <t>v9hd323</t>
  </si>
  <si>
    <t>v10ad323</t>
  </si>
  <si>
    <t>v10bd323</t>
  </si>
  <si>
    <t>v10cd323</t>
  </si>
  <si>
    <t>v11ad323</t>
  </si>
  <si>
    <t>v11bd323</t>
  </si>
  <si>
    <t>v11cd323</t>
  </si>
  <si>
    <t>v11dd323</t>
  </si>
  <si>
    <t>v11ed323</t>
  </si>
  <si>
    <t>v11fd323</t>
  </si>
  <si>
    <t>v11gd323</t>
  </si>
  <si>
    <t>v11hd323</t>
  </si>
  <si>
    <t>v11id323</t>
  </si>
  <si>
    <t>v11jd323</t>
  </si>
  <si>
    <t>run by non-profit organizations</t>
  </si>
  <si>
    <t>run by for-profit organizations</t>
  </si>
  <si>
    <t>by payment</t>
  </si>
  <si>
    <t>by non-profit organizations</t>
  </si>
  <si>
    <t>by for-profit organizations</t>
  </si>
  <si>
    <t>private agencies</t>
  </si>
  <si>
    <t>public agencies</t>
  </si>
  <si>
    <t>parents</t>
  </si>
  <si>
    <t>Total number of childcare institutions and childcare institutions by agencies</t>
  </si>
  <si>
    <t>Personnel</t>
  </si>
  <si>
    <t>Personnel in childcare institutions and personnel by agencies</t>
  </si>
  <si>
    <t>Beneficiaries/clients</t>
  </si>
  <si>
    <t>Total number of children enrolled in childcare institutions and children by agencies</t>
  </si>
  <si>
    <t>Structure of expenditure</t>
  </si>
  <si>
    <t>Structure of financing</t>
  </si>
  <si>
    <t>Total receipts and receipts by sources of financing</t>
  </si>
  <si>
    <t>0300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</si>
  <si>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</si>
  <si>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</si>
  <si>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</si>
  <si>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</si>
  <si>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</si>
  <si>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</si>
  <si>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</si>
  <si>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Wien</t>
  </si>
  <si>
    <t>Benficiaries</t>
  </si>
  <si>
    <t xml:space="preserve">total number of classes/groups </t>
  </si>
  <si>
    <t>Institutions by region</t>
  </si>
  <si>
    <t>Offer</t>
  </si>
  <si>
    <t>Classes/groups by region</t>
  </si>
  <si>
    <t>Children enrolled in childcare institutions by region</t>
  </si>
  <si>
    <t>Institutions by agencies</t>
  </si>
  <si>
    <t>total number of childcare personel</t>
  </si>
  <si>
    <t>v9id323</t>
  </si>
  <si>
    <t>by purpose</t>
  </si>
  <si>
    <t>Total expenditure and expenditure by agencies dedicated to childcare</t>
  </si>
  <si>
    <t xml:space="preserve">           A - Austria</t>
  </si>
  <si>
    <t>3.2.3. Childcare services</t>
  </si>
  <si>
    <t xml:space="preserve">           Kindergarten</t>
  </si>
  <si>
    <t xml:space="preserve">           1863-9999</t>
  </si>
  <si>
    <t xml:space="preserve">Personnel </t>
  </si>
  <si>
    <t>Personnel in childcare institutions by qualification</t>
  </si>
  <si>
    <t xml:space="preserve">other personnel </t>
  </si>
  <si>
    <t xml:space="preserve">childcare personnel without qualification </t>
  </si>
  <si>
    <t>total number of personnel in institutions</t>
  </si>
  <si>
    <t>a_cc63c_</t>
  </si>
  <si>
    <t>run by public institutions</t>
  </si>
  <si>
    <t>run by catholic church</t>
  </si>
  <si>
    <t>run by protestant church</t>
  </si>
  <si>
    <t>run by enterprises</t>
  </si>
  <si>
    <t>run by associations</t>
  </si>
  <si>
    <t xml:space="preserve">run by private persons </t>
  </si>
  <si>
    <t>run by other owners</t>
  </si>
  <si>
    <t>general kindergardens</t>
  </si>
  <si>
    <t>personel with other qualification</t>
  </si>
  <si>
    <t>special kindergartens for handicapped children</t>
  </si>
  <si>
    <t xml:space="preserve">personel with vocational training certificate </t>
  </si>
  <si>
    <t>kindergartens offering professional training</t>
  </si>
  <si>
    <t>kindergartens offering the possibility of sitting in on practical training</t>
  </si>
  <si>
    <t>kindergartens for both handicapped and not handicapped children</t>
  </si>
  <si>
    <t>kindergartens open on a full-day basis</t>
  </si>
  <si>
    <t>kindergartens with a daily four to five hours session</t>
  </si>
  <si>
    <t>kindergartens open all months of the year</t>
  </si>
  <si>
    <t>kindergartens open seasonally</t>
  </si>
  <si>
    <t>kindergartens open during the harvest season</t>
  </si>
  <si>
    <t>Total number of childcare institutions by type of offer</t>
  </si>
  <si>
    <t>Total number of childcare institutions by opening hours</t>
  </si>
  <si>
    <t>Vorarlberg</t>
  </si>
  <si>
    <t>Total number of places available/offered by childcare institutions and places by agencies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</si>
</sst>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000"/>
    <numFmt numFmtId="173" formatCode="####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T86"/>
  <sheetViews>
    <sheetView tabSelected="1"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77" sqref="M77"/>
    </sheetView>
  </sheetViews>
  <sheetFormatPr defaultColWidth="11.421875" defaultRowHeight="12.75"/>
  <cols>
    <col min="1" max="1" width="11.57421875" style="0" customWidth="1"/>
    <col min="51" max="52" width="12.7109375" style="0" customWidth="1"/>
    <col min="54" max="54" width="12.7109375" style="0" customWidth="1"/>
    <col min="55" max="55" width="12.00390625" style="0" customWidth="1"/>
  </cols>
  <sheetData>
    <row r="1" ht="15.75">
      <c r="A1" s="5" t="s">
        <v>141</v>
      </c>
    </row>
    <row r="2" spans="1:63" ht="15">
      <c r="A2" s="7" t="s">
        <v>140</v>
      </c>
      <c r="D2" s="4"/>
      <c r="V2" s="4"/>
      <c r="AL2" s="4"/>
      <c r="AY2" s="2"/>
      <c r="BK2" s="4"/>
    </row>
    <row r="3" spans="1:63" ht="15">
      <c r="A3" s="7" t="s">
        <v>142</v>
      </c>
      <c r="D3" s="1"/>
      <c r="M3" s="1"/>
      <c r="V3" s="1"/>
      <c r="AE3" s="1"/>
      <c r="AG3" s="1"/>
      <c r="AI3" s="1"/>
      <c r="AL3" s="1"/>
      <c r="AU3" s="1"/>
      <c r="AY3" s="1"/>
      <c r="BH3" s="11"/>
      <c r="BK3" s="1"/>
    </row>
    <row r="4" spans="1:72" ht="12.75">
      <c r="A4" s="14" t="s">
        <v>143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Y4" s="3"/>
      <c r="AZ4" s="3"/>
      <c r="BA4" s="3"/>
      <c r="BB4" s="3"/>
      <c r="BC4" s="3"/>
      <c r="BD4" s="3"/>
      <c r="BE4" s="3"/>
      <c r="BF4" s="3"/>
      <c r="BG4" s="3"/>
      <c r="BH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63" ht="15">
      <c r="A5" s="8"/>
      <c r="D5" s="4" t="s">
        <v>132</v>
      </c>
      <c r="V5" s="4" t="s">
        <v>113</v>
      </c>
      <c r="AL5" s="4" t="s">
        <v>115</v>
      </c>
      <c r="AY5" s="2" t="s">
        <v>117</v>
      </c>
      <c r="BK5" s="4" t="s">
        <v>118</v>
      </c>
    </row>
    <row r="6" spans="1:63" ht="12.75">
      <c r="A6" s="8"/>
      <c r="D6" s="1" t="s">
        <v>112</v>
      </c>
      <c r="M6" s="1" t="s">
        <v>172</v>
      </c>
      <c r="V6" s="1" t="s">
        <v>114</v>
      </c>
      <c r="AE6" s="1" t="s">
        <v>0</v>
      </c>
      <c r="AG6" s="1" t="s">
        <v>106</v>
      </c>
      <c r="AI6" s="1" t="s">
        <v>1</v>
      </c>
      <c r="AL6" s="1" t="s">
        <v>116</v>
      </c>
      <c r="AU6" s="1" t="s">
        <v>2</v>
      </c>
      <c r="AY6" s="1" t="s">
        <v>139</v>
      </c>
      <c r="BH6" s="11" t="s">
        <v>138</v>
      </c>
      <c r="BK6" s="1" t="s">
        <v>119</v>
      </c>
    </row>
    <row r="7" spans="1:72" ht="12.75">
      <c r="A7" s="8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104</v>
      </c>
      <c r="L7" s="3" t="s">
        <v>105</v>
      </c>
      <c r="M7" s="3" t="s">
        <v>10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104</v>
      </c>
      <c r="U7" s="3" t="s">
        <v>105</v>
      </c>
      <c r="V7" s="3" t="s">
        <v>10</v>
      </c>
      <c r="W7" s="3" t="s">
        <v>4</v>
      </c>
      <c r="X7" s="3" t="s">
        <v>5</v>
      </c>
      <c r="Y7" s="3" t="s">
        <v>6</v>
      </c>
      <c r="Z7" s="3" t="s">
        <v>7</v>
      </c>
      <c r="AA7" s="3" t="s">
        <v>8</v>
      </c>
      <c r="AB7" s="3" t="s">
        <v>9</v>
      </c>
      <c r="AC7" s="3" t="s">
        <v>104</v>
      </c>
      <c r="AD7" s="3" t="s">
        <v>105</v>
      </c>
      <c r="AE7" s="3" t="s">
        <v>11</v>
      </c>
      <c r="AF7" s="3" t="s">
        <v>12</v>
      </c>
      <c r="AG7" s="3" t="s">
        <v>13</v>
      </c>
      <c r="AH7" s="3" t="s">
        <v>14</v>
      </c>
      <c r="AI7" s="3" t="s">
        <v>15</v>
      </c>
      <c r="AJ7" s="3" t="s">
        <v>16</v>
      </c>
      <c r="AK7" s="3" t="s">
        <v>17</v>
      </c>
      <c r="AL7" s="3" t="s">
        <v>10</v>
      </c>
      <c r="AM7" s="3" t="s">
        <v>4</v>
      </c>
      <c r="AN7" s="3" t="s">
        <v>5</v>
      </c>
      <c r="AO7" s="3" t="s">
        <v>6</v>
      </c>
      <c r="AP7" s="3" t="s">
        <v>7</v>
      </c>
      <c r="AQ7" s="3" t="s">
        <v>8</v>
      </c>
      <c r="AR7" s="3" t="s">
        <v>9</v>
      </c>
      <c r="AS7" s="3" t="s">
        <v>104</v>
      </c>
      <c r="AT7" s="3" t="s">
        <v>105</v>
      </c>
      <c r="AU7" t="s">
        <v>18</v>
      </c>
      <c r="AV7" t="s">
        <v>19</v>
      </c>
      <c r="AW7" t="s">
        <v>20</v>
      </c>
      <c r="AX7" t="s">
        <v>21</v>
      </c>
      <c r="AY7" s="3" t="s">
        <v>28</v>
      </c>
      <c r="AZ7" s="3" t="s">
        <v>22</v>
      </c>
      <c r="BA7" s="3" t="s">
        <v>23</v>
      </c>
      <c r="BB7" s="3" t="s">
        <v>24</v>
      </c>
      <c r="BC7" s="3" t="s">
        <v>25</v>
      </c>
      <c r="BD7" s="3" t="s">
        <v>26</v>
      </c>
      <c r="BE7" s="3" t="s">
        <v>27</v>
      </c>
      <c r="BF7" s="3" t="s">
        <v>104</v>
      </c>
      <c r="BG7" s="3" t="s">
        <v>105</v>
      </c>
      <c r="BH7" s="3" t="s">
        <v>29</v>
      </c>
      <c r="BI7" t="s">
        <v>30</v>
      </c>
      <c r="BJ7" s="3" t="s">
        <v>31</v>
      </c>
      <c r="BK7" s="3" t="s">
        <v>32</v>
      </c>
      <c r="BL7" s="3" t="s">
        <v>110</v>
      </c>
      <c r="BM7" s="3" t="s">
        <v>23</v>
      </c>
      <c r="BN7" s="3" t="s">
        <v>24</v>
      </c>
      <c r="BO7" s="3" t="s">
        <v>25</v>
      </c>
      <c r="BP7" s="3" t="s">
        <v>26</v>
      </c>
      <c r="BQ7" s="3" t="s">
        <v>109</v>
      </c>
      <c r="BR7" s="3" t="s">
        <v>107</v>
      </c>
      <c r="BS7" s="3" t="s">
        <v>108</v>
      </c>
      <c r="BT7" s="3" t="s">
        <v>111</v>
      </c>
    </row>
    <row r="8" spans="1:72" ht="12.75">
      <c r="A8" t="s">
        <v>33</v>
      </c>
      <c r="B8" t="s">
        <v>34</v>
      </c>
      <c r="C8" t="s">
        <v>35</v>
      </c>
      <c r="D8" t="s">
        <v>36</v>
      </c>
      <c r="E8" t="s">
        <v>37</v>
      </c>
      <c r="F8" t="s">
        <v>38</v>
      </c>
      <c r="G8" t="s">
        <v>39</v>
      </c>
      <c r="H8" t="s">
        <v>40</v>
      </c>
      <c r="I8" t="s">
        <v>41</v>
      </c>
      <c r="J8" t="s">
        <v>42</v>
      </c>
      <c r="K8" t="s">
        <v>43</v>
      </c>
      <c r="L8" t="s">
        <v>44</v>
      </c>
      <c r="M8" t="s">
        <v>45</v>
      </c>
      <c r="N8" t="s">
        <v>46</v>
      </c>
      <c r="O8" t="s">
        <v>47</v>
      </c>
      <c r="P8" t="s">
        <v>48</v>
      </c>
      <c r="Q8" t="s">
        <v>49</v>
      </c>
      <c r="R8" t="s">
        <v>50</v>
      </c>
      <c r="S8" t="s">
        <v>51</v>
      </c>
      <c r="T8" t="s">
        <v>52</v>
      </c>
      <c r="U8" t="s">
        <v>53</v>
      </c>
      <c r="V8" t="s">
        <v>54</v>
      </c>
      <c r="W8" t="s">
        <v>55</v>
      </c>
      <c r="X8" t="s">
        <v>56</v>
      </c>
      <c r="Y8" t="s">
        <v>57</v>
      </c>
      <c r="Z8" t="s">
        <v>58</v>
      </c>
      <c r="AA8" t="s">
        <v>59</v>
      </c>
      <c r="AB8" t="s">
        <v>60</v>
      </c>
      <c r="AC8" t="s">
        <v>61</v>
      </c>
      <c r="AD8" t="s">
        <v>62</v>
      </c>
      <c r="AE8" t="s">
        <v>63</v>
      </c>
      <c r="AF8" t="s">
        <v>64</v>
      </c>
      <c r="AG8" t="s">
        <v>65</v>
      </c>
      <c r="AH8" t="s">
        <v>66</v>
      </c>
      <c r="AI8" t="s">
        <v>67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  <c r="AP8" t="s">
        <v>74</v>
      </c>
      <c r="AQ8" t="s">
        <v>75</v>
      </c>
      <c r="AR8" t="s">
        <v>76</v>
      </c>
      <c r="AS8" t="s">
        <v>77</v>
      </c>
      <c r="AT8" t="s">
        <v>78</v>
      </c>
      <c r="AU8" t="s">
        <v>79</v>
      </c>
      <c r="AV8" t="s">
        <v>80</v>
      </c>
      <c r="AW8" t="s">
        <v>81</v>
      </c>
      <c r="AX8" t="s">
        <v>82</v>
      </c>
      <c r="AY8" t="s">
        <v>83</v>
      </c>
      <c r="AZ8" t="s">
        <v>84</v>
      </c>
      <c r="BA8" t="s">
        <v>85</v>
      </c>
      <c r="BB8" t="s">
        <v>86</v>
      </c>
      <c r="BC8" t="s">
        <v>87</v>
      </c>
      <c r="BD8" t="s">
        <v>88</v>
      </c>
      <c r="BE8" t="s">
        <v>89</v>
      </c>
      <c r="BF8" t="s">
        <v>90</v>
      </c>
      <c r="BG8" t="s">
        <v>137</v>
      </c>
      <c r="BH8" t="s">
        <v>91</v>
      </c>
      <c r="BI8" t="s">
        <v>92</v>
      </c>
      <c r="BJ8" t="s">
        <v>93</v>
      </c>
      <c r="BK8" t="s">
        <v>94</v>
      </c>
      <c r="BL8" t="s">
        <v>95</v>
      </c>
      <c r="BM8" t="s">
        <v>96</v>
      </c>
      <c r="BN8" t="s">
        <v>97</v>
      </c>
      <c r="BO8" t="s">
        <v>98</v>
      </c>
      <c r="BP8" t="s">
        <v>99</v>
      </c>
      <c r="BQ8" t="s">
        <v>100</v>
      </c>
      <c r="BR8" t="s">
        <v>101</v>
      </c>
      <c r="BS8" t="s">
        <v>102</v>
      </c>
      <c r="BT8" t="s">
        <v>103</v>
      </c>
    </row>
    <row r="9" spans="1:72" ht="12.75">
      <c r="A9">
        <v>1923</v>
      </c>
      <c r="B9" s="10" t="s">
        <v>120</v>
      </c>
      <c r="C9" s="9" t="s">
        <v>149</v>
      </c>
      <c r="D9">
        <v>549</v>
      </c>
      <c r="E9">
        <f>IF(OR(F9&gt;=0,G9&gt;=0,H9&gt;=0,I9&gt;=0),SUMIF(F9:I9,"&gt;=0",F9:I9),MIN(F9:I9))</f>
        <v>-2</v>
      </c>
      <c r="F9">
        <v>-2</v>
      </c>
      <c r="G9">
        <v>-2</v>
      </c>
      <c r="H9">
        <v>-2</v>
      </c>
      <c r="I9">
        <v>-2</v>
      </c>
      <c r="J9">
        <f aca="true" t="shared" si="0" ref="J9:J30">IF(OR(K9&gt;=0,L9&gt;0),SUMIF(K9:L9,"&gt;=0",K9:L9),MIN(K9:L9))</f>
        <v>-2</v>
      </c>
      <c r="K9">
        <v>-2</v>
      </c>
      <c r="L9">
        <v>-2</v>
      </c>
      <c r="M9">
        <f>IF(OR(N9=-2,S9=-2),-2,IF(OR(N9=-1,S9=-1),MAX(N9,S9),SUM(N9+S9)))</f>
        <v>-1</v>
      </c>
      <c r="N9">
        <f>IF(OR(O9&gt;=0,P9&gt;=0,Q9&gt;=0,R9&gt;=0),SUMIF(O9:R9,"&gt;=0",O9:R9),MIN(O9:R9))</f>
        <v>-1</v>
      </c>
      <c r="O9">
        <v>-1</v>
      </c>
      <c r="P9">
        <v>-1</v>
      </c>
      <c r="Q9">
        <v>-1</v>
      </c>
      <c r="R9">
        <v>-1</v>
      </c>
      <c r="S9">
        <f>IF(OR(T9&gt;=0,U9&gt;=0),SUMIF(T9:U9,"&gt;=0",T9:U9),MIN(T9:U9))</f>
        <v>-1</v>
      </c>
      <c r="T9">
        <v>-1</v>
      </c>
      <c r="U9">
        <v>-1</v>
      </c>
      <c r="V9">
        <f>IF(OR(W9=-2,AB9=-2),-2,IF(OR(W9=-1,AB9=-1),MAX(W9,AB9),SUM(W9+AB9)))</f>
        <v>-2</v>
      </c>
      <c r="W9">
        <f>IF(OR(X9&gt;=0,Y9&gt;=0,Z9&gt;=0,AA9&gt;=0),SUMIF(X9:AA9,"&gt;=0",X9:AA9),MIN(X9:AA9))</f>
        <v>-2</v>
      </c>
      <c r="X9">
        <v>-2</v>
      </c>
      <c r="Y9">
        <v>-2</v>
      </c>
      <c r="Z9">
        <v>-2</v>
      </c>
      <c r="AA9">
        <v>-2</v>
      </c>
      <c r="AB9">
        <f>IF(OR(AC9&gt;=0,AD9&gt;=0),SUMIF(AC9:AD9,"&gt;=0",AC9:AD9),MIN(AC9:AD9))</f>
        <v>-2</v>
      </c>
      <c r="AC9">
        <v>-2</v>
      </c>
      <c r="AD9">
        <v>-2</v>
      </c>
      <c r="AE9">
        <v>-2</v>
      </c>
      <c r="AF9">
        <v>-2</v>
      </c>
      <c r="AG9">
        <v>-2</v>
      </c>
      <c r="AH9">
        <v>-2</v>
      </c>
      <c r="AI9">
        <v>-2</v>
      </c>
      <c r="AJ9">
        <v>-2</v>
      </c>
      <c r="AK9">
        <v>-2</v>
      </c>
      <c r="AL9">
        <v>28168</v>
      </c>
      <c r="AM9">
        <f aca="true" t="shared" si="1" ref="AM9:AM24">IF(OR(AN9&gt;=0,AO9&gt;=0,AP9&gt;=0,AQ9&gt;=0),SUMIF(AN9:AQ9,"&gt;=0",AN9:AQ9),MIN(AN9:AQ9))</f>
        <v>-2</v>
      </c>
      <c r="AN9">
        <v>-2</v>
      </c>
      <c r="AO9">
        <v>-2</v>
      </c>
      <c r="AP9">
        <v>-2</v>
      </c>
      <c r="AQ9">
        <v>-2</v>
      </c>
      <c r="AR9">
        <f aca="true" t="shared" si="2" ref="AR9:AR24">IF(OR(AS9&gt;=0,AT9&gt;=0),SUMIF(AS9:AT9,"&gt;=0",AS9:AT9),MIN(AS9:AT9))</f>
        <v>-2</v>
      </c>
      <c r="AS9">
        <v>-2</v>
      </c>
      <c r="AT9">
        <v>-2</v>
      </c>
      <c r="AU9">
        <v>-2</v>
      </c>
      <c r="AV9">
        <v>-2</v>
      </c>
      <c r="AW9">
        <v>-2</v>
      </c>
      <c r="AX9">
        <v>-2</v>
      </c>
      <c r="AY9">
        <f>IF(OR(AZ9=-2,BE9=-2),-2,IF(OR(AZ9=-1,BE9=-1),MAX(AZ9,BE9),SUM(AZ9+BE9)))</f>
        <v>-2</v>
      </c>
      <c r="AZ9">
        <f>IF(OR(BA9&gt;=0,BB9&gt;=0,BC9&gt;=0,BD9&gt;=0),SUMIF(BA9:BD9,"&gt;=0",BA9:BD9),MIN(BA9:BD9))</f>
        <v>-2</v>
      </c>
      <c r="BA9">
        <v>-2</v>
      </c>
      <c r="BB9">
        <v>-2</v>
      </c>
      <c r="BC9">
        <v>-2</v>
      </c>
      <c r="BD9">
        <v>-2</v>
      </c>
      <c r="BE9">
        <f>IF(OR(BF9&gt;=0,BG9&gt;=0),SUMIF(BF9:BG9,"&gt;=0",BF9:BG9),MIN(BF9:BG9))</f>
        <v>-2</v>
      </c>
      <c r="BF9">
        <v>-2</v>
      </c>
      <c r="BG9">
        <v>-2</v>
      </c>
      <c r="BH9">
        <v>-2</v>
      </c>
      <c r="BI9">
        <v>-2</v>
      </c>
      <c r="BJ9">
        <v>-2</v>
      </c>
      <c r="BK9">
        <v>-2</v>
      </c>
      <c r="BL9">
        <v>-2</v>
      </c>
      <c r="BM9">
        <v>-2</v>
      </c>
      <c r="BN9">
        <v>-2</v>
      </c>
      <c r="BO9">
        <v>-2</v>
      </c>
      <c r="BP9">
        <v>-2</v>
      </c>
      <c r="BQ9">
        <v>-2</v>
      </c>
      <c r="BR9">
        <v>-2</v>
      </c>
      <c r="BS9">
        <v>-2</v>
      </c>
      <c r="BT9">
        <v>-2</v>
      </c>
    </row>
    <row r="10" spans="1:72" ht="12.75">
      <c r="A10">
        <f>A9+1</f>
        <v>1924</v>
      </c>
      <c r="B10" s="10" t="s">
        <v>120</v>
      </c>
      <c r="C10" s="9" t="s">
        <v>149</v>
      </c>
      <c r="D10" s="13">
        <v>614</v>
      </c>
      <c r="E10">
        <f>IF(OR(F10&gt;=0,G10&gt;=0,H10&gt;=0,I10&gt;=0),SUMIF(F10:I10,"&gt;=0",F10:I10),MIN(F10:I10))</f>
        <v>-2</v>
      </c>
      <c r="F10">
        <v>-2</v>
      </c>
      <c r="G10">
        <v>-2</v>
      </c>
      <c r="H10">
        <v>-2</v>
      </c>
      <c r="I10">
        <v>-2</v>
      </c>
      <c r="J10">
        <f t="shared" si="0"/>
        <v>-2</v>
      </c>
      <c r="K10">
        <v>-2</v>
      </c>
      <c r="L10">
        <v>-2</v>
      </c>
      <c r="M10">
        <f>IF(OR(N10=-2,S10=-2),-2,IF(OR(N10=-1,S10=-1),MAX(N10,S10),SUM(N10+S10)))</f>
        <v>-1</v>
      </c>
      <c r="N10">
        <f>IF(OR(O10&gt;=0,P10&gt;=0,Q10&gt;=0,R10&gt;=0),SUMIF(O10:R10,"&gt;=0",O10:R10),MIN(O10:R10))</f>
        <v>-1</v>
      </c>
      <c r="O10">
        <v>-1</v>
      </c>
      <c r="P10">
        <v>-1</v>
      </c>
      <c r="Q10">
        <v>-1</v>
      </c>
      <c r="R10">
        <v>-1</v>
      </c>
      <c r="S10">
        <f>IF(OR(T10&gt;=0,U10&gt;=0),SUMIF(T10:U10,"&gt;=0",T10:U10),MIN(T10:U10))</f>
        <v>-1</v>
      </c>
      <c r="T10">
        <v>-1</v>
      </c>
      <c r="U10">
        <v>-1</v>
      </c>
      <c r="V10">
        <f>IF(OR(W10=-2,AB10=-2),-2,IF(OR(W10=-1,AB10=-1),MAX(W10,AB10),SUM(W10+AB10)))</f>
        <v>-2</v>
      </c>
      <c r="W10">
        <f>IF(OR(X10&gt;=0,Y10&gt;=0,Z10&gt;=0,AA10&gt;=0),SUMIF(X10:AA10,"&gt;=0",X10:AA10),MIN(X10:AA10))</f>
        <v>-2</v>
      </c>
      <c r="X10">
        <v>-2</v>
      </c>
      <c r="Y10">
        <v>-2</v>
      </c>
      <c r="Z10">
        <v>-2</v>
      </c>
      <c r="AA10">
        <v>-2</v>
      </c>
      <c r="AB10">
        <f>IF(OR(AC10&gt;=0,AD10&gt;=0),SUMIF(AC10:AD10,"&gt;=0",AC10:AD10),MIN(AC10:AD10))</f>
        <v>-2</v>
      </c>
      <c r="AC10">
        <v>-2</v>
      </c>
      <c r="AD10">
        <v>-2</v>
      </c>
      <c r="AE10">
        <v>-2</v>
      </c>
      <c r="AF10">
        <v>-2</v>
      </c>
      <c r="AG10">
        <v>-2</v>
      </c>
      <c r="AH10">
        <v>-2</v>
      </c>
      <c r="AI10">
        <v>-2</v>
      </c>
      <c r="AJ10">
        <v>-2</v>
      </c>
      <c r="AK10">
        <v>-2</v>
      </c>
      <c r="AL10" s="13">
        <v>41387</v>
      </c>
      <c r="AM10">
        <f t="shared" si="1"/>
        <v>-2</v>
      </c>
      <c r="AN10">
        <v>-2</v>
      </c>
      <c r="AO10">
        <v>-2</v>
      </c>
      <c r="AP10">
        <v>-2</v>
      </c>
      <c r="AQ10">
        <v>-2</v>
      </c>
      <c r="AR10">
        <f t="shared" si="2"/>
        <v>-2</v>
      </c>
      <c r="AS10">
        <v>-2</v>
      </c>
      <c r="AT10">
        <v>-2</v>
      </c>
      <c r="AU10">
        <v>-2</v>
      </c>
      <c r="AV10">
        <v>-2</v>
      </c>
      <c r="AW10">
        <v>-2</v>
      </c>
      <c r="AX10">
        <v>-2</v>
      </c>
      <c r="AY10">
        <f>IF(OR(AZ10=-2,BE10=-2),-2,IF(OR(AZ10=-1,BE10=-1),MAX(AZ10,BE10),SUM(AZ10+BE10)))</f>
        <v>-2</v>
      </c>
      <c r="AZ10">
        <f>IF(OR(BA10&gt;=0,BB10&gt;=0,BC10&gt;=0,BD10&gt;=0),SUMIF(BA10:BD10,"&gt;=0",BA10:BD10),MIN(BA10:BD10))</f>
        <v>-2</v>
      </c>
      <c r="BA10">
        <v>-2</v>
      </c>
      <c r="BB10">
        <v>-2</v>
      </c>
      <c r="BC10">
        <v>-2</v>
      </c>
      <c r="BD10">
        <v>-2</v>
      </c>
      <c r="BE10">
        <f>IF(OR(BF10&gt;=0,BG10&gt;=0),SUMIF(BF10:BG10,"&gt;=0",BF10:BG10),MIN(BF10:BG10))</f>
        <v>-2</v>
      </c>
      <c r="BF10">
        <v>-2</v>
      </c>
      <c r="BG10">
        <v>-2</v>
      </c>
      <c r="BH10">
        <v>-2</v>
      </c>
      <c r="BI10">
        <v>-2</v>
      </c>
      <c r="BJ10">
        <v>-2</v>
      </c>
      <c r="BK10">
        <v>-2</v>
      </c>
      <c r="BL10">
        <v>-2</v>
      </c>
      <c r="BM10">
        <v>-2</v>
      </c>
      <c r="BN10">
        <v>-2</v>
      </c>
      <c r="BO10">
        <v>-2</v>
      </c>
      <c r="BP10">
        <v>-2</v>
      </c>
      <c r="BQ10">
        <v>-2</v>
      </c>
      <c r="BR10">
        <v>-2</v>
      </c>
      <c r="BS10">
        <v>-2</v>
      </c>
      <c r="BT10">
        <v>-2</v>
      </c>
    </row>
    <row r="11" spans="1:72" ht="12.75">
      <c r="A11">
        <f>A10+1</f>
        <v>1925</v>
      </c>
      <c r="B11" s="10" t="s">
        <v>120</v>
      </c>
      <c r="C11" s="9" t="s">
        <v>149</v>
      </c>
      <c r="D11">
        <v>641</v>
      </c>
      <c r="E11">
        <f>IF(OR(F11&gt;=0,G11&gt;=0,H11&gt;=0,I11&gt;=0),SUMIF(F11:I11,"&gt;=0",F11:I11),MIN(F11:I11))</f>
        <v>-2</v>
      </c>
      <c r="F11">
        <v>-2</v>
      </c>
      <c r="G11">
        <v>-2</v>
      </c>
      <c r="H11">
        <v>-2</v>
      </c>
      <c r="I11">
        <v>-2</v>
      </c>
      <c r="J11">
        <f t="shared" si="0"/>
        <v>-2</v>
      </c>
      <c r="K11">
        <v>-2</v>
      </c>
      <c r="L11">
        <v>-2</v>
      </c>
      <c r="M11">
        <f>IF(OR(N11=-2,S11=-2),-2,IF(OR(N11=-1,S11=-1),MAX(N11,S11),SUM(N11+S11)))</f>
        <v>-1</v>
      </c>
      <c r="N11">
        <f>IF(OR(O11&gt;=0,P11&gt;=0,Q11&gt;=0,R11&gt;=0),SUMIF(O11:R11,"&gt;=0",O11:R11),MIN(O11:R11))</f>
        <v>-1</v>
      </c>
      <c r="O11">
        <v>-1</v>
      </c>
      <c r="P11">
        <v>-1</v>
      </c>
      <c r="Q11">
        <v>-1</v>
      </c>
      <c r="R11">
        <v>-1</v>
      </c>
      <c r="S11">
        <f>IF(OR(T11&gt;=0,U11&gt;=0),SUMIF(T11:U11,"&gt;=0",T11:U11),MIN(T11:U11))</f>
        <v>-1</v>
      </c>
      <c r="T11">
        <v>-1</v>
      </c>
      <c r="U11">
        <v>-1</v>
      </c>
      <c r="V11">
        <f>IF(OR(W11=-2,AB11=-2),-2,IF(OR(W11=-1,AB11=-1),MAX(W11,AB11),SUM(W11+AB11)))</f>
        <v>-2</v>
      </c>
      <c r="W11">
        <f>IF(OR(X11&gt;=0,Y11&gt;=0,Z11&gt;=0,AA11&gt;=0),SUMIF(X11:AA11,"&gt;=0",X11:AA11),MIN(X11:AA11))</f>
        <v>-2</v>
      </c>
      <c r="X11">
        <v>-2</v>
      </c>
      <c r="Y11">
        <v>-2</v>
      </c>
      <c r="Z11">
        <v>-2</v>
      </c>
      <c r="AA11">
        <v>-2</v>
      </c>
      <c r="AB11">
        <f>IF(OR(AC11&gt;=0,AD11&gt;=0),SUMIF(AC11:AD11,"&gt;=0",AC11:AD11),MIN(AC11:AD11))</f>
        <v>-2</v>
      </c>
      <c r="AC11">
        <v>-2</v>
      </c>
      <c r="AD11">
        <v>-2</v>
      </c>
      <c r="AE11">
        <v>-2</v>
      </c>
      <c r="AF11">
        <v>-2</v>
      </c>
      <c r="AG11">
        <v>-2</v>
      </c>
      <c r="AH11">
        <v>-2</v>
      </c>
      <c r="AI11">
        <v>-2</v>
      </c>
      <c r="AJ11">
        <v>-2</v>
      </c>
      <c r="AK11">
        <v>-2</v>
      </c>
      <c r="AL11">
        <v>41891</v>
      </c>
      <c r="AM11">
        <f t="shared" si="1"/>
        <v>-2</v>
      </c>
      <c r="AN11">
        <v>-2</v>
      </c>
      <c r="AO11">
        <v>-2</v>
      </c>
      <c r="AP11">
        <v>-2</v>
      </c>
      <c r="AQ11">
        <v>-2</v>
      </c>
      <c r="AR11">
        <f t="shared" si="2"/>
        <v>-2</v>
      </c>
      <c r="AS11">
        <v>-2</v>
      </c>
      <c r="AT11">
        <v>-2</v>
      </c>
      <c r="AU11">
        <v>-2</v>
      </c>
      <c r="AV11">
        <v>-2</v>
      </c>
      <c r="AW11">
        <v>-2</v>
      </c>
      <c r="AX11">
        <v>-2</v>
      </c>
      <c r="AY11">
        <f>IF(OR(AZ11=-2,BE11=-2),-2,IF(OR(AZ11=-1,BE11=-1),MAX(AZ11,BE11),SUM(AZ11+BE11)))</f>
        <v>-2</v>
      </c>
      <c r="AZ11">
        <f>IF(OR(BA11&gt;=0,BB11&gt;=0,BC11&gt;=0,BD11&gt;=0),SUMIF(BA11:BD11,"&gt;=0",BA11:BD11),MIN(BA11:BD11))</f>
        <v>-2</v>
      </c>
      <c r="BA11">
        <v>-2</v>
      </c>
      <c r="BB11">
        <v>-2</v>
      </c>
      <c r="BC11">
        <v>-2</v>
      </c>
      <c r="BD11">
        <v>-2</v>
      </c>
      <c r="BE11">
        <f>IF(OR(BF11&gt;=0,BG11&gt;=0),SUMIF(BF11:BG11,"&gt;=0",BF11:BG11),MIN(BF11:BG11))</f>
        <v>-2</v>
      </c>
      <c r="BF11">
        <v>-2</v>
      </c>
      <c r="BG11">
        <v>-2</v>
      </c>
      <c r="BH11">
        <v>-2</v>
      </c>
      <c r="BI11">
        <v>-2</v>
      </c>
      <c r="BJ11">
        <v>-2</v>
      </c>
      <c r="BK11">
        <v>-2</v>
      </c>
      <c r="BL11">
        <v>-2</v>
      </c>
      <c r="BM11">
        <v>-2</v>
      </c>
      <c r="BN11">
        <v>-2</v>
      </c>
      <c r="BO11">
        <v>-2</v>
      </c>
      <c r="BP11">
        <v>-2</v>
      </c>
      <c r="BQ11">
        <v>-2</v>
      </c>
      <c r="BR11">
        <v>-2</v>
      </c>
      <c r="BS11">
        <v>-2</v>
      </c>
      <c r="BT11">
        <v>-2</v>
      </c>
    </row>
    <row r="12" spans="1:72" ht="12.75">
      <c r="A12">
        <f>A11+1</f>
        <v>1926</v>
      </c>
      <c r="B12" s="10" t="s">
        <v>120</v>
      </c>
      <c r="C12" s="9" t="s">
        <v>149</v>
      </c>
      <c r="D12" s="13">
        <v>693</v>
      </c>
      <c r="E12">
        <f>IF(OR(F12&gt;=0,G12&gt;=0,H12&gt;=0,I12&gt;=0),SUMIF(F12:I12,"&gt;=0",F12:I12),MIN(F12:I12))</f>
        <v>-2</v>
      </c>
      <c r="F12">
        <v>-2</v>
      </c>
      <c r="G12">
        <v>-2</v>
      </c>
      <c r="H12">
        <v>-2</v>
      </c>
      <c r="I12">
        <v>-2</v>
      </c>
      <c r="J12">
        <f t="shared" si="0"/>
        <v>-2</v>
      </c>
      <c r="K12">
        <v>-2</v>
      </c>
      <c r="L12">
        <v>-2</v>
      </c>
      <c r="M12">
        <f>IF(OR(N12=-2,S12=-2),-2,IF(OR(N12=-1,S12=-1),MAX(N12,S12),SUM(N12+S12)))</f>
        <v>-1</v>
      </c>
      <c r="N12">
        <f>IF(OR(O12&gt;=0,P12&gt;=0,Q12&gt;=0,R12&gt;=0),SUMIF(O12:R12,"&gt;=0",O12:R12),MIN(O12:R12))</f>
        <v>-1</v>
      </c>
      <c r="O12">
        <v>-1</v>
      </c>
      <c r="P12">
        <v>-1</v>
      </c>
      <c r="Q12">
        <v>-1</v>
      </c>
      <c r="R12">
        <v>-1</v>
      </c>
      <c r="S12">
        <f>IF(OR(T12&gt;=0,U12&gt;=0),SUMIF(T12:U12,"&gt;=0",T12:U12),MIN(T12:U12))</f>
        <v>-1</v>
      </c>
      <c r="T12">
        <v>-1</v>
      </c>
      <c r="U12">
        <v>-1</v>
      </c>
      <c r="V12">
        <f>IF(OR(W12=-2,AB12=-2),-2,IF(OR(W12=-1,AB12=-1),MAX(W12,AB12),SUM(W12+AB12)))</f>
        <v>-2</v>
      </c>
      <c r="W12">
        <f>IF(OR(X12&gt;=0,Y12&gt;=0,Z12&gt;=0,AA12&gt;=0),SUMIF(X12:AA12,"&gt;=0",X12:AA12),MIN(X12:AA12))</f>
        <v>-2</v>
      </c>
      <c r="X12">
        <v>-2</v>
      </c>
      <c r="Y12">
        <v>-2</v>
      </c>
      <c r="Z12">
        <v>-2</v>
      </c>
      <c r="AA12">
        <v>-2</v>
      </c>
      <c r="AB12">
        <f>IF(OR(AC12&gt;=0,AD12&gt;=0),SUMIF(AC12:AD12,"&gt;=0",AC12:AD12),MIN(AC12:AD12))</f>
        <v>-2</v>
      </c>
      <c r="AC12">
        <v>-2</v>
      </c>
      <c r="AD12">
        <v>-2</v>
      </c>
      <c r="AE12">
        <v>-2</v>
      </c>
      <c r="AF12">
        <v>-2</v>
      </c>
      <c r="AG12">
        <v>-2</v>
      </c>
      <c r="AH12">
        <v>-2</v>
      </c>
      <c r="AI12">
        <v>-2</v>
      </c>
      <c r="AJ12">
        <v>-2</v>
      </c>
      <c r="AK12">
        <v>-2</v>
      </c>
      <c r="AL12">
        <v>43258</v>
      </c>
      <c r="AM12">
        <f t="shared" si="1"/>
        <v>-2</v>
      </c>
      <c r="AN12">
        <v>-2</v>
      </c>
      <c r="AO12">
        <v>-2</v>
      </c>
      <c r="AP12">
        <v>-2</v>
      </c>
      <c r="AQ12">
        <v>-2</v>
      </c>
      <c r="AR12">
        <f t="shared" si="2"/>
        <v>-2</v>
      </c>
      <c r="AS12">
        <v>-2</v>
      </c>
      <c r="AT12">
        <v>-2</v>
      </c>
      <c r="AU12">
        <v>-2</v>
      </c>
      <c r="AV12">
        <v>-2</v>
      </c>
      <c r="AW12">
        <v>-2</v>
      </c>
      <c r="AX12">
        <v>-2</v>
      </c>
      <c r="AY12">
        <f>IF(OR(AZ12=-2,BE12=-2),-2,IF(OR(AZ12=-1,BE12=-1),MAX(AZ12,BE12),SUM(AZ12+BE12)))</f>
        <v>-2</v>
      </c>
      <c r="AZ12">
        <f>IF(OR(BA12&gt;=0,BB12&gt;=0,BC12&gt;=0,BD12&gt;=0),SUMIF(BA12:BD12,"&gt;=0",BA12:BD12),MIN(BA12:BD12))</f>
        <v>-2</v>
      </c>
      <c r="BA12">
        <v>-2</v>
      </c>
      <c r="BB12">
        <v>-2</v>
      </c>
      <c r="BC12">
        <v>-2</v>
      </c>
      <c r="BD12">
        <v>-2</v>
      </c>
      <c r="BE12">
        <f>IF(OR(BF12&gt;=0,BG12&gt;=0),SUMIF(BF12:BG12,"&gt;=0",BF12:BG12),MIN(BF12:BG12))</f>
        <v>-2</v>
      </c>
      <c r="BF12">
        <v>-2</v>
      </c>
      <c r="BG12">
        <v>-2</v>
      </c>
      <c r="BH12">
        <v>-2</v>
      </c>
      <c r="BI12">
        <v>-2</v>
      </c>
      <c r="BJ12">
        <v>-2</v>
      </c>
      <c r="BK12">
        <v>-2</v>
      </c>
      <c r="BL12">
        <v>-2</v>
      </c>
      <c r="BM12">
        <v>-2</v>
      </c>
      <c r="BN12">
        <v>-2</v>
      </c>
      <c r="BO12">
        <v>-2</v>
      </c>
      <c r="BP12">
        <v>-2</v>
      </c>
      <c r="BQ12">
        <v>-2</v>
      </c>
      <c r="BR12">
        <v>-2</v>
      </c>
      <c r="BS12">
        <v>-2</v>
      </c>
      <c r="BT12">
        <v>-2</v>
      </c>
    </row>
    <row r="13" spans="1:72" ht="12.75">
      <c r="A13">
        <f>A12+1</f>
        <v>1927</v>
      </c>
      <c r="B13" s="10" t="s">
        <v>120</v>
      </c>
      <c r="C13" s="9" t="s">
        <v>149</v>
      </c>
      <c r="D13">
        <v>706</v>
      </c>
      <c r="E13">
        <f>IF(OR(F13&gt;=0,G13&gt;=0,H13&gt;=0,I13&gt;=0),SUMIF(F13:I13,"&gt;=0",F13:I13),MIN(F13:I13))</f>
        <v>-2</v>
      </c>
      <c r="F13">
        <v>-2</v>
      </c>
      <c r="G13">
        <v>-2</v>
      </c>
      <c r="H13">
        <v>-2</v>
      </c>
      <c r="I13">
        <v>-2</v>
      </c>
      <c r="J13">
        <f t="shared" si="0"/>
        <v>-2</v>
      </c>
      <c r="K13">
        <v>-2</v>
      </c>
      <c r="L13">
        <v>-2</v>
      </c>
      <c r="M13">
        <f>IF(OR(N13=-2,S13=-2),-2,IF(OR(N13=-1,S13=-1),MAX(N13,S13),SUM(N13+S13)))</f>
        <v>-1</v>
      </c>
      <c r="N13">
        <f>IF(OR(O13&gt;=0,P13&gt;=0,Q13&gt;=0,R13&gt;=0),SUMIF(O13:R13,"&gt;=0",O13:R13),MIN(O13:R13))</f>
        <v>-1</v>
      </c>
      <c r="O13">
        <v>-1</v>
      </c>
      <c r="P13">
        <v>-1</v>
      </c>
      <c r="Q13">
        <v>-1</v>
      </c>
      <c r="R13">
        <v>-1</v>
      </c>
      <c r="S13">
        <f>IF(OR(T13&gt;=0,U13&gt;=0),SUMIF(T13:U13,"&gt;=0",T13:U13),MIN(T13:U13))</f>
        <v>-1</v>
      </c>
      <c r="T13">
        <v>-1</v>
      </c>
      <c r="U13">
        <v>-1</v>
      </c>
      <c r="V13">
        <f>IF(OR(W13=-2,AB13=-2),-2,IF(OR(W13=-1,AB13=-1),MAX(W13,AB13),SUM(W13+AB13)))</f>
        <v>-2</v>
      </c>
      <c r="W13">
        <f>IF(OR(X13&gt;=0,Y13&gt;=0,Z13&gt;=0,AA13&gt;=0),SUMIF(X13:AA13,"&gt;=0",X13:AA13),MIN(X13:AA13))</f>
        <v>-2</v>
      </c>
      <c r="X13">
        <v>-2</v>
      </c>
      <c r="Y13">
        <v>-2</v>
      </c>
      <c r="Z13">
        <v>-2</v>
      </c>
      <c r="AA13">
        <v>-2</v>
      </c>
      <c r="AB13">
        <f>IF(OR(AC13&gt;=0,AD13&gt;=0),SUMIF(AC13:AD13,"&gt;=0",AC13:AD13),MIN(AC13:AD13))</f>
        <v>-2</v>
      </c>
      <c r="AC13">
        <v>-2</v>
      </c>
      <c r="AD13">
        <v>-2</v>
      </c>
      <c r="AE13">
        <v>-2</v>
      </c>
      <c r="AF13">
        <v>-2</v>
      </c>
      <c r="AG13">
        <v>-2</v>
      </c>
      <c r="AH13">
        <v>-2</v>
      </c>
      <c r="AI13">
        <v>-2</v>
      </c>
      <c r="AJ13">
        <v>-2</v>
      </c>
      <c r="AK13">
        <v>-2</v>
      </c>
      <c r="AL13">
        <v>43853</v>
      </c>
      <c r="AM13">
        <f t="shared" si="1"/>
        <v>-2</v>
      </c>
      <c r="AN13">
        <v>-2</v>
      </c>
      <c r="AO13">
        <v>-2</v>
      </c>
      <c r="AP13">
        <v>-2</v>
      </c>
      <c r="AQ13">
        <v>-2</v>
      </c>
      <c r="AR13">
        <f t="shared" si="2"/>
        <v>-2</v>
      </c>
      <c r="AS13">
        <v>-2</v>
      </c>
      <c r="AT13">
        <v>-2</v>
      </c>
      <c r="AU13">
        <v>-2</v>
      </c>
      <c r="AV13">
        <v>-2</v>
      </c>
      <c r="AW13">
        <v>-2</v>
      </c>
      <c r="AX13">
        <v>-2</v>
      </c>
      <c r="AY13">
        <f>IF(OR(AZ13=-2,BE13=-2),-2,IF(OR(AZ13=-1,BE13=-1),MAX(AZ13,BE13),SUM(AZ13+BE13)))</f>
        <v>-2</v>
      </c>
      <c r="AZ13">
        <f>IF(OR(BA13&gt;=0,BB13&gt;=0,BC13&gt;=0,BD13&gt;=0),SUMIF(BA13:BD13,"&gt;=0",BA13:BD13),MIN(BA13:BD13))</f>
        <v>-2</v>
      </c>
      <c r="BA13">
        <v>-2</v>
      </c>
      <c r="BB13">
        <v>-2</v>
      </c>
      <c r="BC13">
        <v>-2</v>
      </c>
      <c r="BD13">
        <v>-2</v>
      </c>
      <c r="BE13">
        <f>IF(OR(BF13&gt;=0,BG13&gt;=0),SUMIF(BF13:BG13,"&gt;=0",BF13:BG13),MIN(BF13:BG13))</f>
        <v>-2</v>
      </c>
      <c r="BF13">
        <v>-2</v>
      </c>
      <c r="BG13">
        <v>-2</v>
      </c>
      <c r="BH13">
        <v>-2</v>
      </c>
      <c r="BI13">
        <v>-2</v>
      </c>
      <c r="BJ13">
        <v>-2</v>
      </c>
      <c r="BK13">
        <v>-2</v>
      </c>
      <c r="BL13">
        <v>-2</v>
      </c>
      <c r="BM13">
        <v>-2</v>
      </c>
      <c r="BN13">
        <v>-2</v>
      </c>
      <c r="BO13">
        <v>-2</v>
      </c>
      <c r="BP13">
        <v>-2</v>
      </c>
      <c r="BQ13">
        <v>-2</v>
      </c>
      <c r="BR13">
        <v>-2</v>
      </c>
      <c r="BS13">
        <v>-2</v>
      </c>
      <c r="BT13">
        <v>-2</v>
      </c>
    </row>
    <row r="14" spans="1:72" ht="12.75">
      <c r="A14">
        <f>A13+1</f>
        <v>1928</v>
      </c>
      <c r="B14" s="10" t="s">
        <v>120</v>
      </c>
      <c r="C14" s="9" t="s">
        <v>149</v>
      </c>
      <c r="D14">
        <v>765</v>
      </c>
      <c r="E14">
        <f aca="true" t="shared" si="3" ref="E14:E77">IF(OR(F14&gt;=0,G14&gt;=0,H14&gt;=0,I14&gt;=0),SUMIF(F14:I14,"&gt;=0",F14:I14),MIN(F14:I14))</f>
        <v>-2</v>
      </c>
      <c r="F14">
        <v>-2</v>
      </c>
      <c r="G14">
        <v>-2</v>
      </c>
      <c r="H14">
        <v>-2</v>
      </c>
      <c r="I14">
        <v>-2</v>
      </c>
      <c r="J14">
        <f t="shared" si="0"/>
        <v>-2</v>
      </c>
      <c r="K14">
        <v>-2</v>
      </c>
      <c r="L14">
        <v>-2</v>
      </c>
      <c r="M14">
        <f aca="true" t="shared" si="4" ref="M14:M77">IF(OR(N14=-2,S14=-2),-2,IF(OR(N14=-1,S14=-1),MAX(N14,S14),SUM(N14+S14)))</f>
        <v>-1</v>
      </c>
      <c r="N14">
        <f aca="true" t="shared" si="5" ref="N14:N77">IF(OR(O14&gt;=0,P14&gt;=0,Q14&gt;=0,R14&gt;=0),SUMIF(O14:R14,"&gt;=0",O14:R14),MIN(O14:R14))</f>
        <v>-1</v>
      </c>
      <c r="O14">
        <v>-1</v>
      </c>
      <c r="P14">
        <v>-1</v>
      </c>
      <c r="Q14">
        <v>-1</v>
      </c>
      <c r="R14">
        <v>-1</v>
      </c>
      <c r="S14">
        <f aca="true" t="shared" si="6" ref="S14:S77">IF(OR(T14&gt;=0,U14&gt;=0),SUMIF(T14:U14,"&gt;=0",T14:U14),MIN(T14:U14))</f>
        <v>-1</v>
      </c>
      <c r="T14">
        <v>-1</v>
      </c>
      <c r="U14">
        <v>-1</v>
      </c>
      <c r="V14">
        <f aca="true" t="shared" si="7" ref="V14:V52">IF(OR(W14=-2,AB14=-2),-2,IF(OR(W14=-1,AB14=-1),MAX(W14,AB14),SUM(W14+AB14)))</f>
        <v>-2</v>
      </c>
      <c r="W14">
        <f aca="true" t="shared" si="8" ref="W14:W52">IF(OR(X14&gt;=0,Y14&gt;=0,Z14&gt;=0,AA14&gt;=0),SUMIF(X14:AA14,"&gt;=0",X14:AA14),MIN(X14:AA14))</f>
        <v>-2</v>
      </c>
      <c r="X14">
        <v>-2</v>
      </c>
      <c r="Y14">
        <v>-2</v>
      </c>
      <c r="Z14">
        <v>-2</v>
      </c>
      <c r="AA14">
        <v>-2</v>
      </c>
      <c r="AB14">
        <f aca="true" t="shared" si="9" ref="AB14:AB52">IF(OR(AC14&gt;=0,AD14&gt;=0),SUMIF(AC14:AD14,"&gt;=0",AC14:AD14),MIN(AC14:AD14))</f>
        <v>-2</v>
      </c>
      <c r="AC14">
        <v>-2</v>
      </c>
      <c r="AD14">
        <v>-2</v>
      </c>
      <c r="AE14">
        <v>-2</v>
      </c>
      <c r="AF14">
        <v>-2</v>
      </c>
      <c r="AG14">
        <v>-2</v>
      </c>
      <c r="AH14">
        <v>-2</v>
      </c>
      <c r="AI14">
        <v>-2</v>
      </c>
      <c r="AJ14">
        <v>-2</v>
      </c>
      <c r="AK14">
        <v>-2</v>
      </c>
      <c r="AL14">
        <v>45994</v>
      </c>
      <c r="AM14">
        <f t="shared" si="1"/>
        <v>-2</v>
      </c>
      <c r="AN14">
        <v>-2</v>
      </c>
      <c r="AO14">
        <v>-2</v>
      </c>
      <c r="AP14">
        <v>-2</v>
      </c>
      <c r="AQ14">
        <v>-2</v>
      </c>
      <c r="AR14">
        <f t="shared" si="2"/>
        <v>-2</v>
      </c>
      <c r="AS14">
        <v>-2</v>
      </c>
      <c r="AT14">
        <v>-2</v>
      </c>
      <c r="AU14">
        <v>-2</v>
      </c>
      <c r="AV14">
        <v>-2</v>
      </c>
      <c r="AW14">
        <v>-2</v>
      </c>
      <c r="AX14">
        <v>-2</v>
      </c>
      <c r="AY14">
        <f aca="true" t="shared" si="10" ref="AY14:AY77">IF(OR(AZ14=-2,BE14=-2),-2,IF(OR(AZ14=-1,BE14=-1),MAX(AZ14,BE14),SUM(AZ14+BE14)))</f>
        <v>-2</v>
      </c>
      <c r="AZ14">
        <f aca="true" t="shared" si="11" ref="AZ14:AZ77">IF(OR(BA14&gt;=0,BB14&gt;=0,BC14&gt;=0,BD14&gt;=0),SUMIF(BA14:BD14,"&gt;=0",BA14:BD14),MIN(BA14:BD14))</f>
        <v>-2</v>
      </c>
      <c r="BA14">
        <v>-2</v>
      </c>
      <c r="BB14">
        <v>-2</v>
      </c>
      <c r="BC14">
        <v>-2</v>
      </c>
      <c r="BD14">
        <v>-2</v>
      </c>
      <c r="BE14">
        <f aca="true" t="shared" si="12" ref="BE14:BE77">IF(OR(BF14&gt;=0,BG14&gt;=0),SUMIF(BF14:BG14,"&gt;=0",BF14:BG14),MIN(BF14:BG14))</f>
        <v>-2</v>
      </c>
      <c r="BF14">
        <v>-2</v>
      </c>
      <c r="BG14">
        <v>-2</v>
      </c>
      <c r="BH14">
        <v>-2</v>
      </c>
      <c r="BI14">
        <v>-2</v>
      </c>
      <c r="BJ14">
        <v>-2</v>
      </c>
      <c r="BK14">
        <v>-2</v>
      </c>
      <c r="BL14">
        <v>-2</v>
      </c>
      <c r="BM14">
        <v>-2</v>
      </c>
      <c r="BN14">
        <v>-2</v>
      </c>
      <c r="BO14">
        <v>-2</v>
      </c>
      <c r="BP14">
        <v>-2</v>
      </c>
      <c r="BQ14">
        <v>-2</v>
      </c>
      <c r="BR14">
        <v>-2</v>
      </c>
      <c r="BS14">
        <v>-2</v>
      </c>
      <c r="BT14">
        <v>-2</v>
      </c>
    </row>
    <row r="15" spans="1:72" ht="12.75">
      <c r="A15">
        <f aca="true" t="shared" si="13" ref="A15:A78">A14+1</f>
        <v>1929</v>
      </c>
      <c r="B15" s="10" t="s">
        <v>120</v>
      </c>
      <c r="C15" s="9" t="s">
        <v>149</v>
      </c>
      <c r="D15">
        <v>793</v>
      </c>
      <c r="E15">
        <f t="shared" si="3"/>
        <v>-2</v>
      </c>
      <c r="F15">
        <v>-2</v>
      </c>
      <c r="G15">
        <v>-2</v>
      </c>
      <c r="H15">
        <v>-2</v>
      </c>
      <c r="I15">
        <v>-2</v>
      </c>
      <c r="J15">
        <f t="shared" si="0"/>
        <v>-2</v>
      </c>
      <c r="K15">
        <v>-2</v>
      </c>
      <c r="L15">
        <v>-2</v>
      </c>
      <c r="M15">
        <f t="shared" si="4"/>
        <v>-1</v>
      </c>
      <c r="N15">
        <f t="shared" si="5"/>
        <v>-1</v>
      </c>
      <c r="O15">
        <v>-1</v>
      </c>
      <c r="P15">
        <v>-1</v>
      </c>
      <c r="Q15">
        <v>-1</v>
      </c>
      <c r="R15">
        <v>-1</v>
      </c>
      <c r="S15">
        <f t="shared" si="6"/>
        <v>-1</v>
      </c>
      <c r="T15">
        <v>-1</v>
      </c>
      <c r="U15">
        <v>-1</v>
      </c>
      <c r="V15">
        <f t="shared" si="7"/>
        <v>-2</v>
      </c>
      <c r="W15">
        <f t="shared" si="8"/>
        <v>-2</v>
      </c>
      <c r="X15">
        <v>-2</v>
      </c>
      <c r="Y15">
        <v>-2</v>
      </c>
      <c r="Z15">
        <v>-2</v>
      </c>
      <c r="AA15">
        <v>-2</v>
      </c>
      <c r="AB15">
        <f t="shared" si="9"/>
        <v>-2</v>
      </c>
      <c r="AC15">
        <v>-2</v>
      </c>
      <c r="AD15">
        <v>-2</v>
      </c>
      <c r="AE15">
        <v>-2</v>
      </c>
      <c r="AF15">
        <v>-2</v>
      </c>
      <c r="AG15">
        <v>-2</v>
      </c>
      <c r="AH15">
        <v>-2</v>
      </c>
      <c r="AI15">
        <v>-2</v>
      </c>
      <c r="AJ15">
        <v>-2</v>
      </c>
      <c r="AK15">
        <v>-2</v>
      </c>
      <c r="AL15">
        <v>45786</v>
      </c>
      <c r="AM15">
        <f t="shared" si="1"/>
        <v>-2</v>
      </c>
      <c r="AN15">
        <v>-2</v>
      </c>
      <c r="AO15">
        <v>-2</v>
      </c>
      <c r="AP15">
        <v>-2</v>
      </c>
      <c r="AQ15">
        <v>-2</v>
      </c>
      <c r="AR15">
        <f t="shared" si="2"/>
        <v>-2</v>
      </c>
      <c r="AS15">
        <v>-2</v>
      </c>
      <c r="AT15">
        <v>-2</v>
      </c>
      <c r="AU15">
        <v>-2</v>
      </c>
      <c r="AV15">
        <v>-2</v>
      </c>
      <c r="AW15">
        <v>-2</v>
      </c>
      <c r="AX15">
        <v>-2</v>
      </c>
      <c r="AY15">
        <f t="shared" si="10"/>
        <v>-2</v>
      </c>
      <c r="AZ15">
        <f t="shared" si="11"/>
        <v>-2</v>
      </c>
      <c r="BA15">
        <v>-2</v>
      </c>
      <c r="BB15">
        <v>-2</v>
      </c>
      <c r="BC15">
        <v>-2</v>
      </c>
      <c r="BD15">
        <v>-2</v>
      </c>
      <c r="BE15">
        <f t="shared" si="12"/>
        <v>-2</v>
      </c>
      <c r="BF15">
        <v>-2</v>
      </c>
      <c r="BG15">
        <v>-2</v>
      </c>
      <c r="BH15">
        <v>-2</v>
      </c>
      <c r="BI15">
        <v>-2</v>
      </c>
      <c r="BJ15">
        <v>-2</v>
      </c>
      <c r="BK15">
        <v>-2</v>
      </c>
      <c r="BL15">
        <v>-2</v>
      </c>
      <c r="BM15">
        <v>-2</v>
      </c>
      <c r="BN15">
        <v>-2</v>
      </c>
      <c r="BO15">
        <v>-2</v>
      </c>
      <c r="BP15">
        <v>-2</v>
      </c>
      <c r="BQ15">
        <v>-2</v>
      </c>
      <c r="BR15">
        <v>-2</v>
      </c>
      <c r="BS15">
        <v>-2</v>
      </c>
      <c r="BT15">
        <v>-2</v>
      </c>
    </row>
    <row r="16" spans="1:72" ht="12.75">
      <c r="A16">
        <f t="shared" si="13"/>
        <v>1930</v>
      </c>
      <c r="B16" s="10" t="s">
        <v>120</v>
      </c>
      <c r="C16" s="9" t="s">
        <v>149</v>
      </c>
      <c r="D16">
        <v>838</v>
      </c>
      <c r="E16">
        <f t="shared" si="3"/>
        <v>-2</v>
      </c>
      <c r="F16">
        <v>-2</v>
      </c>
      <c r="G16">
        <v>-2</v>
      </c>
      <c r="H16">
        <v>-2</v>
      </c>
      <c r="I16">
        <v>-2</v>
      </c>
      <c r="J16">
        <f t="shared" si="0"/>
        <v>-2</v>
      </c>
      <c r="K16">
        <v>-2</v>
      </c>
      <c r="L16">
        <v>-2</v>
      </c>
      <c r="M16">
        <f t="shared" si="4"/>
        <v>-1</v>
      </c>
      <c r="N16">
        <f t="shared" si="5"/>
        <v>-1</v>
      </c>
      <c r="O16">
        <v>-1</v>
      </c>
      <c r="P16">
        <v>-1</v>
      </c>
      <c r="Q16">
        <v>-1</v>
      </c>
      <c r="R16">
        <v>-1</v>
      </c>
      <c r="S16">
        <f t="shared" si="6"/>
        <v>-1</v>
      </c>
      <c r="T16">
        <v>-1</v>
      </c>
      <c r="U16">
        <v>-1</v>
      </c>
      <c r="V16">
        <f t="shared" si="7"/>
        <v>-2</v>
      </c>
      <c r="W16">
        <f t="shared" si="8"/>
        <v>-2</v>
      </c>
      <c r="X16">
        <v>-2</v>
      </c>
      <c r="Y16">
        <v>-2</v>
      </c>
      <c r="Z16">
        <v>-2</v>
      </c>
      <c r="AA16">
        <v>-2</v>
      </c>
      <c r="AB16">
        <f t="shared" si="9"/>
        <v>-2</v>
      </c>
      <c r="AC16">
        <v>-2</v>
      </c>
      <c r="AD16">
        <v>-2</v>
      </c>
      <c r="AE16">
        <v>-2</v>
      </c>
      <c r="AF16">
        <v>-2</v>
      </c>
      <c r="AG16">
        <v>-2</v>
      </c>
      <c r="AH16">
        <v>-2</v>
      </c>
      <c r="AI16">
        <v>-2</v>
      </c>
      <c r="AJ16">
        <v>-2</v>
      </c>
      <c r="AK16">
        <v>-2</v>
      </c>
      <c r="AL16">
        <v>46796</v>
      </c>
      <c r="AM16">
        <f t="shared" si="1"/>
        <v>-2</v>
      </c>
      <c r="AN16">
        <v>-2</v>
      </c>
      <c r="AO16">
        <v>-2</v>
      </c>
      <c r="AP16">
        <v>-2</v>
      </c>
      <c r="AQ16">
        <v>-2</v>
      </c>
      <c r="AR16">
        <f t="shared" si="2"/>
        <v>-2</v>
      </c>
      <c r="AS16">
        <v>-2</v>
      </c>
      <c r="AT16">
        <v>-2</v>
      </c>
      <c r="AU16">
        <v>-2</v>
      </c>
      <c r="AV16">
        <v>-2</v>
      </c>
      <c r="AW16">
        <v>-2</v>
      </c>
      <c r="AX16">
        <v>-2</v>
      </c>
      <c r="AY16">
        <f t="shared" si="10"/>
        <v>-2</v>
      </c>
      <c r="AZ16">
        <f t="shared" si="11"/>
        <v>-2</v>
      </c>
      <c r="BA16">
        <v>-2</v>
      </c>
      <c r="BB16">
        <v>-2</v>
      </c>
      <c r="BC16">
        <v>-2</v>
      </c>
      <c r="BD16">
        <v>-2</v>
      </c>
      <c r="BE16">
        <f t="shared" si="12"/>
        <v>-2</v>
      </c>
      <c r="BF16">
        <v>-2</v>
      </c>
      <c r="BG16">
        <v>-2</v>
      </c>
      <c r="BH16">
        <v>-2</v>
      </c>
      <c r="BI16">
        <v>-2</v>
      </c>
      <c r="BJ16">
        <v>-2</v>
      </c>
      <c r="BK16">
        <v>-2</v>
      </c>
      <c r="BL16">
        <v>-2</v>
      </c>
      <c r="BM16">
        <v>-2</v>
      </c>
      <c r="BN16">
        <v>-2</v>
      </c>
      <c r="BO16">
        <v>-2</v>
      </c>
      <c r="BP16">
        <v>-2</v>
      </c>
      <c r="BQ16">
        <v>-2</v>
      </c>
      <c r="BR16">
        <v>-2</v>
      </c>
      <c r="BS16">
        <v>-2</v>
      </c>
      <c r="BT16">
        <v>-2</v>
      </c>
    </row>
    <row r="17" spans="1:72" ht="12.75">
      <c r="A17">
        <f t="shared" si="13"/>
        <v>1931</v>
      </c>
      <c r="B17" s="10" t="s">
        <v>120</v>
      </c>
      <c r="C17" s="9" t="s">
        <v>149</v>
      </c>
      <c r="D17">
        <v>880</v>
      </c>
      <c r="E17">
        <f t="shared" si="3"/>
        <v>-2</v>
      </c>
      <c r="F17">
        <v>-2</v>
      </c>
      <c r="G17">
        <v>-2</v>
      </c>
      <c r="H17">
        <v>-2</v>
      </c>
      <c r="I17">
        <v>-2</v>
      </c>
      <c r="J17">
        <f t="shared" si="0"/>
        <v>-2</v>
      </c>
      <c r="K17">
        <v>-2</v>
      </c>
      <c r="L17">
        <v>-2</v>
      </c>
      <c r="M17">
        <f t="shared" si="4"/>
        <v>-1</v>
      </c>
      <c r="N17">
        <f t="shared" si="5"/>
        <v>-1</v>
      </c>
      <c r="O17">
        <v>-1</v>
      </c>
      <c r="P17">
        <v>-1</v>
      </c>
      <c r="Q17">
        <v>-1</v>
      </c>
      <c r="R17">
        <v>-1</v>
      </c>
      <c r="S17">
        <f t="shared" si="6"/>
        <v>-1</v>
      </c>
      <c r="T17">
        <v>-1</v>
      </c>
      <c r="U17">
        <v>-1</v>
      </c>
      <c r="V17">
        <f t="shared" si="7"/>
        <v>-2</v>
      </c>
      <c r="W17">
        <f t="shared" si="8"/>
        <v>-2</v>
      </c>
      <c r="X17">
        <v>-2</v>
      </c>
      <c r="Y17">
        <v>-2</v>
      </c>
      <c r="Z17">
        <v>-2</v>
      </c>
      <c r="AA17">
        <v>-2</v>
      </c>
      <c r="AB17">
        <f t="shared" si="9"/>
        <v>-2</v>
      </c>
      <c r="AC17">
        <v>-2</v>
      </c>
      <c r="AD17">
        <v>-2</v>
      </c>
      <c r="AE17">
        <v>-2</v>
      </c>
      <c r="AF17">
        <v>-2</v>
      </c>
      <c r="AG17">
        <v>-2</v>
      </c>
      <c r="AH17">
        <v>-2</v>
      </c>
      <c r="AI17">
        <v>-2</v>
      </c>
      <c r="AJ17">
        <v>-2</v>
      </c>
      <c r="AK17">
        <v>-2</v>
      </c>
      <c r="AL17">
        <v>45334</v>
      </c>
      <c r="AM17">
        <f t="shared" si="1"/>
        <v>-2</v>
      </c>
      <c r="AN17">
        <v>-2</v>
      </c>
      <c r="AO17">
        <v>-2</v>
      </c>
      <c r="AP17">
        <v>-2</v>
      </c>
      <c r="AQ17">
        <v>-2</v>
      </c>
      <c r="AR17">
        <f t="shared" si="2"/>
        <v>-2</v>
      </c>
      <c r="AS17">
        <v>-2</v>
      </c>
      <c r="AT17">
        <v>-2</v>
      </c>
      <c r="AU17">
        <v>-2</v>
      </c>
      <c r="AV17">
        <v>-2</v>
      </c>
      <c r="AW17">
        <v>-2</v>
      </c>
      <c r="AX17">
        <v>-2</v>
      </c>
      <c r="AY17">
        <f t="shared" si="10"/>
        <v>-2</v>
      </c>
      <c r="AZ17">
        <f t="shared" si="11"/>
        <v>-2</v>
      </c>
      <c r="BA17">
        <v>-2</v>
      </c>
      <c r="BB17">
        <v>-2</v>
      </c>
      <c r="BC17">
        <v>-2</v>
      </c>
      <c r="BD17">
        <v>-2</v>
      </c>
      <c r="BE17">
        <f t="shared" si="12"/>
        <v>-2</v>
      </c>
      <c r="BF17">
        <v>-2</v>
      </c>
      <c r="BG17">
        <v>-2</v>
      </c>
      <c r="BH17">
        <v>-2</v>
      </c>
      <c r="BI17">
        <v>-2</v>
      </c>
      <c r="BJ17">
        <v>-2</v>
      </c>
      <c r="BK17">
        <v>-2</v>
      </c>
      <c r="BL17">
        <v>-2</v>
      </c>
      <c r="BM17">
        <v>-2</v>
      </c>
      <c r="BN17">
        <v>-2</v>
      </c>
      <c r="BO17">
        <v>-2</v>
      </c>
      <c r="BP17">
        <v>-2</v>
      </c>
      <c r="BQ17">
        <v>-2</v>
      </c>
      <c r="BR17">
        <v>-2</v>
      </c>
      <c r="BS17">
        <v>-2</v>
      </c>
      <c r="BT17">
        <v>-2</v>
      </c>
    </row>
    <row r="18" spans="1:72" ht="12.75">
      <c r="A18">
        <f t="shared" si="13"/>
        <v>1932</v>
      </c>
      <c r="B18" s="10" t="s">
        <v>120</v>
      </c>
      <c r="C18" s="9" t="s">
        <v>149</v>
      </c>
      <c r="D18">
        <v>874</v>
      </c>
      <c r="E18">
        <f t="shared" si="3"/>
        <v>-2</v>
      </c>
      <c r="F18">
        <v>-2</v>
      </c>
      <c r="G18">
        <v>-2</v>
      </c>
      <c r="H18">
        <v>-2</v>
      </c>
      <c r="I18">
        <v>-2</v>
      </c>
      <c r="J18">
        <f t="shared" si="0"/>
        <v>-2</v>
      </c>
      <c r="K18">
        <v>-2</v>
      </c>
      <c r="L18">
        <v>-2</v>
      </c>
      <c r="M18">
        <f t="shared" si="4"/>
        <v>-1</v>
      </c>
      <c r="N18">
        <f t="shared" si="5"/>
        <v>-1</v>
      </c>
      <c r="O18">
        <v>-1</v>
      </c>
      <c r="P18">
        <v>-1</v>
      </c>
      <c r="Q18">
        <v>-1</v>
      </c>
      <c r="R18">
        <v>-1</v>
      </c>
      <c r="S18">
        <f t="shared" si="6"/>
        <v>-1</v>
      </c>
      <c r="T18">
        <v>-1</v>
      </c>
      <c r="U18">
        <v>-1</v>
      </c>
      <c r="V18">
        <f t="shared" si="7"/>
        <v>-2</v>
      </c>
      <c r="W18">
        <f t="shared" si="8"/>
        <v>-2</v>
      </c>
      <c r="X18">
        <v>-2</v>
      </c>
      <c r="Y18">
        <v>-2</v>
      </c>
      <c r="Z18">
        <v>-2</v>
      </c>
      <c r="AA18">
        <v>-2</v>
      </c>
      <c r="AB18">
        <f t="shared" si="9"/>
        <v>-2</v>
      </c>
      <c r="AC18">
        <v>-2</v>
      </c>
      <c r="AD18">
        <v>-2</v>
      </c>
      <c r="AE18">
        <v>-2</v>
      </c>
      <c r="AF18">
        <v>-2</v>
      </c>
      <c r="AG18">
        <v>-2</v>
      </c>
      <c r="AH18">
        <v>-2</v>
      </c>
      <c r="AI18">
        <v>-2</v>
      </c>
      <c r="AJ18">
        <v>-2</v>
      </c>
      <c r="AK18">
        <v>-2</v>
      </c>
      <c r="AL18">
        <v>44661</v>
      </c>
      <c r="AM18">
        <f t="shared" si="1"/>
        <v>-2</v>
      </c>
      <c r="AN18">
        <v>-2</v>
      </c>
      <c r="AO18">
        <v>-2</v>
      </c>
      <c r="AP18">
        <v>-2</v>
      </c>
      <c r="AQ18">
        <v>-2</v>
      </c>
      <c r="AR18">
        <f t="shared" si="2"/>
        <v>-2</v>
      </c>
      <c r="AS18">
        <v>-2</v>
      </c>
      <c r="AT18">
        <v>-2</v>
      </c>
      <c r="AU18">
        <v>-2</v>
      </c>
      <c r="AV18">
        <v>-2</v>
      </c>
      <c r="AW18">
        <v>-2</v>
      </c>
      <c r="AX18">
        <v>-2</v>
      </c>
      <c r="AY18">
        <f t="shared" si="10"/>
        <v>-2</v>
      </c>
      <c r="AZ18">
        <f t="shared" si="11"/>
        <v>-2</v>
      </c>
      <c r="BA18">
        <v>-2</v>
      </c>
      <c r="BB18">
        <v>-2</v>
      </c>
      <c r="BC18">
        <v>-2</v>
      </c>
      <c r="BD18">
        <v>-2</v>
      </c>
      <c r="BE18">
        <f t="shared" si="12"/>
        <v>-2</v>
      </c>
      <c r="BF18">
        <v>-2</v>
      </c>
      <c r="BG18">
        <v>-2</v>
      </c>
      <c r="BH18">
        <v>-2</v>
      </c>
      <c r="BI18">
        <v>-2</v>
      </c>
      <c r="BJ18">
        <v>-2</v>
      </c>
      <c r="BK18">
        <v>-2</v>
      </c>
      <c r="BL18">
        <v>-2</v>
      </c>
      <c r="BM18">
        <v>-2</v>
      </c>
      <c r="BN18">
        <v>-2</v>
      </c>
      <c r="BO18">
        <v>-2</v>
      </c>
      <c r="BP18">
        <v>-2</v>
      </c>
      <c r="BQ18">
        <v>-2</v>
      </c>
      <c r="BR18">
        <v>-2</v>
      </c>
      <c r="BS18">
        <v>-2</v>
      </c>
      <c r="BT18">
        <v>-2</v>
      </c>
    </row>
    <row r="19" spans="1:72" ht="12.75">
      <c r="A19">
        <f t="shared" si="13"/>
        <v>1933</v>
      </c>
      <c r="B19" s="10" t="s">
        <v>120</v>
      </c>
      <c r="C19" s="9" t="s">
        <v>149</v>
      </c>
      <c r="D19">
        <v>893</v>
      </c>
      <c r="E19">
        <f t="shared" si="3"/>
        <v>-2</v>
      </c>
      <c r="F19">
        <v>-2</v>
      </c>
      <c r="G19">
        <v>-2</v>
      </c>
      <c r="H19">
        <v>-2</v>
      </c>
      <c r="I19">
        <v>-2</v>
      </c>
      <c r="J19">
        <f t="shared" si="0"/>
        <v>-2</v>
      </c>
      <c r="K19">
        <v>-2</v>
      </c>
      <c r="L19">
        <v>-2</v>
      </c>
      <c r="M19">
        <f t="shared" si="4"/>
        <v>-1</v>
      </c>
      <c r="N19">
        <f t="shared" si="5"/>
        <v>-1</v>
      </c>
      <c r="O19">
        <v>-1</v>
      </c>
      <c r="P19">
        <v>-1</v>
      </c>
      <c r="Q19">
        <v>-1</v>
      </c>
      <c r="R19">
        <v>-1</v>
      </c>
      <c r="S19">
        <f t="shared" si="6"/>
        <v>-1</v>
      </c>
      <c r="T19">
        <v>-1</v>
      </c>
      <c r="U19">
        <v>-1</v>
      </c>
      <c r="V19">
        <f t="shared" si="7"/>
        <v>-2</v>
      </c>
      <c r="W19">
        <f t="shared" si="8"/>
        <v>-2</v>
      </c>
      <c r="X19">
        <v>-2</v>
      </c>
      <c r="Y19">
        <v>-2</v>
      </c>
      <c r="Z19">
        <v>-2</v>
      </c>
      <c r="AA19">
        <v>-2</v>
      </c>
      <c r="AB19">
        <f t="shared" si="9"/>
        <v>-2</v>
      </c>
      <c r="AC19">
        <v>-2</v>
      </c>
      <c r="AD19">
        <v>-2</v>
      </c>
      <c r="AE19">
        <v>-2</v>
      </c>
      <c r="AF19">
        <v>-2</v>
      </c>
      <c r="AG19">
        <v>-2</v>
      </c>
      <c r="AH19">
        <v>-2</v>
      </c>
      <c r="AI19">
        <v>-2</v>
      </c>
      <c r="AJ19">
        <v>-2</v>
      </c>
      <c r="AK19">
        <v>-2</v>
      </c>
      <c r="AL19">
        <v>44874</v>
      </c>
      <c r="AM19">
        <f t="shared" si="1"/>
        <v>-2</v>
      </c>
      <c r="AN19">
        <v>-2</v>
      </c>
      <c r="AO19">
        <v>-2</v>
      </c>
      <c r="AP19">
        <v>-2</v>
      </c>
      <c r="AQ19">
        <v>-2</v>
      </c>
      <c r="AR19">
        <f t="shared" si="2"/>
        <v>-2</v>
      </c>
      <c r="AS19">
        <v>-2</v>
      </c>
      <c r="AT19">
        <v>-2</v>
      </c>
      <c r="AU19">
        <v>-2</v>
      </c>
      <c r="AV19">
        <v>-2</v>
      </c>
      <c r="AW19">
        <v>-2</v>
      </c>
      <c r="AX19">
        <v>-2</v>
      </c>
      <c r="AY19">
        <f t="shared" si="10"/>
        <v>-2</v>
      </c>
      <c r="AZ19">
        <f t="shared" si="11"/>
        <v>-2</v>
      </c>
      <c r="BA19">
        <v>-2</v>
      </c>
      <c r="BB19">
        <v>-2</v>
      </c>
      <c r="BC19">
        <v>-2</v>
      </c>
      <c r="BD19">
        <v>-2</v>
      </c>
      <c r="BE19">
        <f t="shared" si="12"/>
        <v>-2</v>
      </c>
      <c r="BF19">
        <v>-2</v>
      </c>
      <c r="BG19">
        <v>-2</v>
      </c>
      <c r="BH19">
        <v>-2</v>
      </c>
      <c r="BI19">
        <v>-2</v>
      </c>
      <c r="BJ19">
        <v>-2</v>
      </c>
      <c r="BK19">
        <v>-2</v>
      </c>
      <c r="BL19">
        <v>-2</v>
      </c>
      <c r="BM19">
        <v>-2</v>
      </c>
      <c r="BN19">
        <v>-2</v>
      </c>
      <c r="BO19">
        <v>-2</v>
      </c>
      <c r="BP19">
        <v>-2</v>
      </c>
      <c r="BQ19">
        <v>-2</v>
      </c>
      <c r="BR19">
        <v>-2</v>
      </c>
      <c r="BS19">
        <v>-2</v>
      </c>
      <c r="BT19">
        <v>-2</v>
      </c>
    </row>
    <row r="20" spans="1:72" ht="12.75">
      <c r="A20">
        <f t="shared" si="13"/>
        <v>1934</v>
      </c>
      <c r="B20" s="10" t="s">
        <v>120</v>
      </c>
      <c r="C20" s="9" t="s">
        <v>149</v>
      </c>
      <c r="D20">
        <v>872</v>
      </c>
      <c r="E20">
        <f t="shared" si="3"/>
        <v>-2</v>
      </c>
      <c r="F20">
        <v>-2</v>
      </c>
      <c r="G20">
        <v>-2</v>
      </c>
      <c r="H20">
        <v>-2</v>
      </c>
      <c r="I20">
        <v>-2</v>
      </c>
      <c r="J20">
        <f t="shared" si="0"/>
        <v>-2</v>
      </c>
      <c r="K20">
        <v>-2</v>
      </c>
      <c r="L20">
        <v>-2</v>
      </c>
      <c r="M20">
        <f t="shared" si="4"/>
        <v>-1</v>
      </c>
      <c r="N20">
        <f t="shared" si="5"/>
        <v>-1</v>
      </c>
      <c r="O20">
        <v>-1</v>
      </c>
      <c r="P20">
        <v>-1</v>
      </c>
      <c r="Q20">
        <v>-1</v>
      </c>
      <c r="R20">
        <v>-1</v>
      </c>
      <c r="S20">
        <f t="shared" si="6"/>
        <v>-1</v>
      </c>
      <c r="T20">
        <v>-1</v>
      </c>
      <c r="U20">
        <v>-1</v>
      </c>
      <c r="V20">
        <f t="shared" si="7"/>
        <v>-2</v>
      </c>
      <c r="W20">
        <f t="shared" si="8"/>
        <v>-2</v>
      </c>
      <c r="X20">
        <v>-2</v>
      </c>
      <c r="Y20">
        <v>-2</v>
      </c>
      <c r="Z20">
        <v>-2</v>
      </c>
      <c r="AA20">
        <v>-2</v>
      </c>
      <c r="AB20">
        <f t="shared" si="9"/>
        <v>-2</v>
      </c>
      <c r="AC20">
        <v>-2</v>
      </c>
      <c r="AD20">
        <v>-2</v>
      </c>
      <c r="AE20">
        <v>-2</v>
      </c>
      <c r="AF20">
        <v>-2</v>
      </c>
      <c r="AG20">
        <v>-2</v>
      </c>
      <c r="AH20">
        <v>-2</v>
      </c>
      <c r="AI20">
        <v>-2</v>
      </c>
      <c r="AJ20">
        <v>-2</v>
      </c>
      <c r="AK20">
        <v>-2</v>
      </c>
      <c r="AL20">
        <v>44704</v>
      </c>
      <c r="AM20">
        <f t="shared" si="1"/>
        <v>-2</v>
      </c>
      <c r="AN20">
        <v>-2</v>
      </c>
      <c r="AO20">
        <v>-2</v>
      </c>
      <c r="AP20">
        <v>-2</v>
      </c>
      <c r="AQ20">
        <v>-2</v>
      </c>
      <c r="AR20">
        <f t="shared" si="2"/>
        <v>-2</v>
      </c>
      <c r="AS20">
        <v>-2</v>
      </c>
      <c r="AT20">
        <v>-2</v>
      </c>
      <c r="AU20">
        <v>-2</v>
      </c>
      <c r="AV20">
        <v>-2</v>
      </c>
      <c r="AW20">
        <v>-2</v>
      </c>
      <c r="AX20">
        <v>-2</v>
      </c>
      <c r="AY20">
        <f t="shared" si="10"/>
        <v>-2</v>
      </c>
      <c r="AZ20">
        <f t="shared" si="11"/>
        <v>-2</v>
      </c>
      <c r="BA20">
        <v>-2</v>
      </c>
      <c r="BB20">
        <v>-2</v>
      </c>
      <c r="BC20">
        <v>-2</v>
      </c>
      <c r="BD20">
        <v>-2</v>
      </c>
      <c r="BE20">
        <f t="shared" si="12"/>
        <v>-2</v>
      </c>
      <c r="BF20">
        <v>-2</v>
      </c>
      <c r="BG20">
        <v>-2</v>
      </c>
      <c r="BH20">
        <v>-2</v>
      </c>
      <c r="BI20">
        <v>-2</v>
      </c>
      <c r="BJ20">
        <v>-2</v>
      </c>
      <c r="BK20">
        <v>-2</v>
      </c>
      <c r="BL20">
        <v>-2</v>
      </c>
      <c r="BM20">
        <v>-2</v>
      </c>
      <c r="BN20">
        <v>-2</v>
      </c>
      <c r="BO20">
        <v>-2</v>
      </c>
      <c r="BP20">
        <v>-2</v>
      </c>
      <c r="BQ20">
        <v>-2</v>
      </c>
      <c r="BR20">
        <v>-2</v>
      </c>
      <c r="BS20">
        <v>-2</v>
      </c>
      <c r="BT20">
        <v>-2</v>
      </c>
    </row>
    <row r="21" spans="1:72" ht="12.75">
      <c r="A21">
        <f t="shared" si="13"/>
        <v>1935</v>
      </c>
      <c r="B21" s="10" t="s">
        <v>120</v>
      </c>
      <c r="C21" s="9" t="s">
        <v>149</v>
      </c>
      <c r="D21">
        <v>889</v>
      </c>
      <c r="E21">
        <f t="shared" si="3"/>
        <v>-2</v>
      </c>
      <c r="F21">
        <v>-2</v>
      </c>
      <c r="G21">
        <v>-2</v>
      </c>
      <c r="H21">
        <v>-2</v>
      </c>
      <c r="I21">
        <v>-2</v>
      </c>
      <c r="J21">
        <f t="shared" si="0"/>
        <v>-2</v>
      </c>
      <c r="K21">
        <v>-2</v>
      </c>
      <c r="L21">
        <v>-2</v>
      </c>
      <c r="M21">
        <f t="shared" si="4"/>
        <v>-1</v>
      </c>
      <c r="N21">
        <f t="shared" si="5"/>
        <v>-1</v>
      </c>
      <c r="O21">
        <v>-1</v>
      </c>
      <c r="P21">
        <v>-1</v>
      </c>
      <c r="Q21">
        <v>-1</v>
      </c>
      <c r="R21">
        <v>-1</v>
      </c>
      <c r="S21">
        <f t="shared" si="6"/>
        <v>-1</v>
      </c>
      <c r="T21">
        <v>-1</v>
      </c>
      <c r="U21">
        <v>-1</v>
      </c>
      <c r="V21">
        <f t="shared" si="7"/>
        <v>-2</v>
      </c>
      <c r="W21">
        <f t="shared" si="8"/>
        <v>-2</v>
      </c>
      <c r="X21">
        <v>-2</v>
      </c>
      <c r="Y21">
        <v>-2</v>
      </c>
      <c r="Z21">
        <v>-2</v>
      </c>
      <c r="AA21">
        <v>-2</v>
      </c>
      <c r="AB21">
        <f t="shared" si="9"/>
        <v>-2</v>
      </c>
      <c r="AC21">
        <v>-2</v>
      </c>
      <c r="AD21">
        <v>-2</v>
      </c>
      <c r="AE21">
        <v>-2</v>
      </c>
      <c r="AF21">
        <v>-2</v>
      </c>
      <c r="AG21">
        <v>-2</v>
      </c>
      <c r="AH21">
        <v>-2</v>
      </c>
      <c r="AI21">
        <v>-2</v>
      </c>
      <c r="AJ21">
        <v>-2</v>
      </c>
      <c r="AK21">
        <v>-2</v>
      </c>
      <c r="AL21">
        <v>45330</v>
      </c>
      <c r="AM21">
        <f t="shared" si="1"/>
        <v>-2</v>
      </c>
      <c r="AN21">
        <v>-2</v>
      </c>
      <c r="AO21">
        <v>-2</v>
      </c>
      <c r="AP21">
        <v>-2</v>
      </c>
      <c r="AQ21">
        <v>-2</v>
      </c>
      <c r="AR21">
        <f t="shared" si="2"/>
        <v>-2</v>
      </c>
      <c r="AS21">
        <v>-2</v>
      </c>
      <c r="AT21">
        <v>-2</v>
      </c>
      <c r="AU21">
        <v>-2</v>
      </c>
      <c r="AV21">
        <v>-2</v>
      </c>
      <c r="AW21">
        <v>-2</v>
      </c>
      <c r="AX21">
        <v>-2</v>
      </c>
      <c r="AY21">
        <f t="shared" si="10"/>
        <v>-2</v>
      </c>
      <c r="AZ21">
        <f t="shared" si="11"/>
        <v>-2</v>
      </c>
      <c r="BA21">
        <v>-2</v>
      </c>
      <c r="BB21">
        <v>-2</v>
      </c>
      <c r="BC21">
        <v>-2</v>
      </c>
      <c r="BD21">
        <v>-2</v>
      </c>
      <c r="BE21">
        <f t="shared" si="12"/>
        <v>-2</v>
      </c>
      <c r="BF21">
        <v>-2</v>
      </c>
      <c r="BG21">
        <v>-2</v>
      </c>
      <c r="BH21">
        <v>-2</v>
      </c>
      <c r="BI21">
        <v>-2</v>
      </c>
      <c r="BJ21">
        <v>-2</v>
      </c>
      <c r="BK21">
        <v>-2</v>
      </c>
      <c r="BL21">
        <v>-2</v>
      </c>
      <c r="BM21">
        <v>-2</v>
      </c>
      <c r="BN21">
        <v>-2</v>
      </c>
      <c r="BO21">
        <v>-2</v>
      </c>
      <c r="BP21">
        <v>-2</v>
      </c>
      <c r="BQ21">
        <v>-2</v>
      </c>
      <c r="BR21">
        <v>-2</v>
      </c>
      <c r="BS21">
        <v>-2</v>
      </c>
      <c r="BT21">
        <v>-2</v>
      </c>
    </row>
    <row r="22" spans="1:72" ht="12.75">
      <c r="A22">
        <f t="shared" si="13"/>
        <v>1936</v>
      </c>
      <c r="B22" s="10" t="s">
        <v>120</v>
      </c>
      <c r="C22" s="9" t="s">
        <v>149</v>
      </c>
      <c r="D22">
        <v>928</v>
      </c>
      <c r="E22">
        <f t="shared" si="3"/>
        <v>-2</v>
      </c>
      <c r="F22">
        <v>-2</v>
      </c>
      <c r="G22">
        <v>-2</v>
      </c>
      <c r="H22">
        <v>-2</v>
      </c>
      <c r="I22">
        <v>-2</v>
      </c>
      <c r="J22">
        <f t="shared" si="0"/>
        <v>-2</v>
      </c>
      <c r="K22">
        <v>-2</v>
      </c>
      <c r="L22">
        <v>-2</v>
      </c>
      <c r="M22">
        <f t="shared" si="4"/>
        <v>-1</v>
      </c>
      <c r="N22">
        <f t="shared" si="5"/>
        <v>-1</v>
      </c>
      <c r="O22">
        <v>-1</v>
      </c>
      <c r="P22">
        <v>-1</v>
      </c>
      <c r="Q22">
        <v>-1</v>
      </c>
      <c r="R22">
        <v>-1</v>
      </c>
      <c r="S22">
        <f t="shared" si="6"/>
        <v>-1</v>
      </c>
      <c r="T22">
        <v>-1</v>
      </c>
      <c r="U22">
        <v>-1</v>
      </c>
      <c r="V22">
        <f t="shared" si="7"/>
        <v>-2</v>
      </c>
      <c r="W22">
        <f t="shared" si="8"/>
        <v>-2</v>
      </c>
      <c r="X22">
        <v>-2</v>
      </c>
      <c r="Y22">
        <v>-2</v>
      </c>
      <c r="Z22">
        <v>-2</v>
      </c>
      <c r="AA22">
        <v>-2</v>
      </c>
      <c r="AB22">
        <f t="shared" si="9"/>
        <v>-2</v>
      </c>
      <c r="AC22">
        <v>-2</v>
      </c>
      <c r="AD22">
        <v>-2</v>
      </c>
      <c r="AE22">
        <v>-2</v>
      </c>
      <c r="AF22">
        <v>-2</v>
      </c>
      <c r="AG22">
        <v>-2</v>
      </c>
      <c r="AH22">
        <v>-2</v>
      </c>
      <c r="AI22">
        <v>-2</v>
      </c>
      <c r="AJ22">
        <v>-2</v>
      </c>
      <c r="AK22">
        <v>-2</v>
      </c>
      <c r="AL22">
        <v>45142</v>
      </c>
      <c r="AM22">
        <f t="shared" si="1"/>
        <v>-2</v>
      </c>
      <c r="AN22">
        <v>-2</v>
      </c>
      <c r="AO22">
        <v>-2</v>
      </c>
      <c r="AP22">
        <v>-2</v>
      </c>
      <c r="AQ22">
        <v>-2</v>
      </c>
      <c r="AR22">
        <f t="shared" si="2"/>
        <v>-2</v>
      </c>
      <c r="AS22">
        <v>-2</v>
      </c>
      <c r="AT22">
        <v>-2</v>
      </c>
      <c r="AU22">
        <v>-2</v>
      </c>
      <c r="AV22">
        <v>-2</v>
      </c>
      <c r="AW22">
        <v>-2</v>
      </c>
      <c r="AX22">
        <v>-2</v>
      </c>
      <c r="AY22">
        <f t="shared" si="10"/>
        <v>-2</v>
      </c>
      <c r="AZ22">
        <f t="shared" si="11"/>
        <v>-2</v>
      </c>
      <c r="BA22">
        <v>-2</v>
      </c>
      <c r="BB22">
        <v>-2</v>
      </c>
      <c r="BC22">
        <v>-2</v>
      </c>
      <c r="BD22">
        <v>-2</v>
      </c>
      <c r="BE22">
        <f t="shared" si="12"/>
        <v>-2</v>
      </c>
      <c r="BF22">
        <v>-2</v>
      </c>
      <c r="BG22">
        <v>-2</v>
      </c>
      <c r="BH22">
        <v>-2</v>
      </c>
      <c r="BI22">
        <v>-2</v>
      </c>
      <c r="BJ22">
        <v>-2</v>
      </c>
      <c r="BK22">
        <v>-2</v>
      </c>
      <c r="BL22">
        <v>-2</v>
      </c>
      <c r="BM22">
        <v>-2</v>
      </c>
      <c r="BN22">
        <v>-2</v>
      </c>
      <c r="BO22">
        <v>-2</v>
      </c>
      <c r="BP22">
        <v>-2</v>
      </c>
      <c r="BQ22">
        <v>-2</v>
      </c>
      <c r="BR22">
        <v>-2</v>
      </c>
      <c r="BS22">
        <v>-2</v>
      </c>
      <c r="BT22">
        <v>-2</v>
      </c>
    </row>
    <row r="23" spans="1:72" ht="12.75">
      <c r="A23">
        <f t="shared" si="13"/>
        <v>1937</v>
      </c>
      <c r="B23" s="10" t="s">
        <v>120</v>
      </c>
      <c r="C23" s="9" t="s">
        <v>149</v>
      </c>
      <c r="D23">
        <v>926</v>
      </c>
      <c r="E23">
        <f t="shared" si="3"/>
        <v>-2</v>
      </c>
      <c r="F23">
        <v>-2</v>
      </c>
      <c r="G23">
        <v>-2</v>
      </c>
      <c r="H23">
        <v>-2</v>
      </c>
      <c r="I23">
        <v>-2</v>
      </c>
      <c r="J23">
        <f t="shared" si="0"/>
        <v>-2</v>
      </c>
      <c r="K23">
        <v>-2</v>
      </c>
      <c r="L23">
        <v>-2</v>
      </c>
      <c r="M23">
        <f t="shared" si="4"/>
        <v>-1</v>
      </c>
      <c r="N23">
        <f t="shared" si="5"/>
        <v>-1</v>
      </c>
      <c r="O23">
        <v>-1</v>
      </c>
      <c r="P23">
        <v>-1</v>
      </c>
      <c r="Q23">
        <v>-1</v>
      </c>
      <c r="R23">
        <v>-1</v>
      </c>
      <c r="S23">
        <f t="shared" si="6"/>
        <v>-1</v>
      </c>
      <c r="T23">
        <v>-1</v>
      </c>
      <c r="U23">
        <v>-1</v>
      </c>
      <c r="V23">
        <f t="shared" si="7"/>
        <v>-2</v>
      </c>
      <c r="W23">
        <f t="shared" si="8"/>
        <v>-2</v>
      </c>
      <c r="X23">
        <v>-2</v>
      </c>
      <c r="Y23">
        <v>-2</v>
      </c>
      <c r="Z23">
        <v>-2</v>
      </c>
      <c r="AA23">
        <v>-2</v>
      </c>
      <c r="AB23">
        <f t="shared" si="9"/>
        <v>-2</v>
      </c>
      <c r="AC23">
        <v>-2</v>
      </c>
      <c r="AD23">
        <v>-2</v>
      </c>
      <c r="AE23">
        <v>-2</v>
      </c>
      <c r="AF23">
        <v>-2</v>
      </c>
      <c r="AG23">
        <v>-2</v>
      </c>
      <c r="AH23">
        <v>-2</v>
      </c>
      <c r="AI23">
        <v>-2</v>
      </c>
      <c r="AJ23">
        <v>-2</v>
      </c>
      <c r="AK23">
        <v>-2</v>
      </c>
      <c r="AL23">
        <v>45054</v>
      </c>
      <c r="AM23">
        <f t="shared" si="1"/>
        <v>-2</v>
      </c>
      <c r="AN23">
        <v>-2</v>
      </c>
      <c r="AO23">
        <v>-2</v>
      </c>
      <c r="AP23">
        <v>-2</v>
      </c>
      <c r="AQ23">
        <v>-2</v>
      </c>
      <c r="AR23">
        <f t="shared" si="2"/>
        <v>-2</v>
      </c>
      <c r="AS23">
        <v>-2</v>
      </c>
      <c r="AT23">
        <v>-2</v>
      </c>
      <c r="AU23">
        <v>-2</v>
      </c>
      <c r="AV23">
        <v>-2</v>
      </c>
      <c r="AW23">
        <v>-2</v>
      </c>
      <c r="AX23">
        <v>-2</v>
      </c>
      <c r="AY23">
        <f t="shared" si="10"/>
        <v>-2</v>
      </c>
      <c r="AZ23">
        <f t="shared" si="11"/>
        <v>-2</v>
      </c>
      <c r="BA23">
        <v>-2</v>
      </c>
      <c r="BB23">
        <v>-2</v>
      </c>
      <c r="BC23">
        <v>-2</v>
      </c>
      <c r="BD23">
        <v>-2</v>
      </c>
      <c r="BE23">
        <f t="shared" si="12"/>
        <v>-2</v>
      </c>
      <c r="BF23">
        <v>-2</v>
      </c>
      <c r="BG23">
        <v>-2</v>
      </c>
      <c r="BH23">
        <v>-2</v>
      </c>
      <c r="BI23">
        <v>-2</v>
      </c>
      <c r="BJ23">
        <v>-2</v>
      </c>
      <c r="BK23">
        <v>-2</v>
      </c>
      <c r="BL23">
        <v>-2</v>
      </c>
      <c r="BM23">
        <v>-2</v>
      </c>
      <c r="BN23">
        <v>-2</v>
      </c>
      <c r="BO23">
        <v>-2</v>
      </c>
      <c r="BP23">
        <v>-2</v>
      </c>
      <c r="BQ23">
        <v>-2</v>
      </c>
      <c r="BR23">
        <v>-2</v>
      </c>
      <c r="BS23">
        <v>-2</v>
      </c>
      <c r="BT23">
        <v>-2</v>
      </c>
    </row>
    <row r="24" spans="1:72" ht="12.75">
      <c r="A24">
        <f t="shared" si="13"/>
        <v>1938</v>
      </c>
      <c r="B24" s="10" t="s">
        <v>120</v>
      </c>
      <c r="C24" s="9" t="s">
        <v>149</v>
      </c>
      <c r="D24">
        <f aca="true" t="shared" si="14" ref="D24:D30">IF(OR(E24=-2,J24=-2),-2,IF(OR(E24=-1,J24=-1),MAX(E24,J24),SUM(E24+J24)))</f>
        <v>-2</v>
      </c>
      <c r="E24">
        <f t="shared" si="3"/>
        <v>-2</v>
      </c>
      <c r="F24">
        <v>-2</v>
      </c>
      <c r="G24">
        <v>-2</v>
      </c>
      <c r="H24">
        <v>-2</v>
      </c>
      <c r="I24">
        <v>-2</v>
      </c>
      <c r="J24">
        <f t="shared" si="0"/>
        <v>-2</v>
      </c>
      <c r="K24">
        <v>-2</v>
      </c>
      <c r="L24">
        <v>-2</v>
      </c>
      <c r="M24">
        <f t="shared" si="4"/>
        <v>-1</v>
      </c>
      <c r="N24">
        <f t="shared" si="5"/>
        <v>-1</v>
      </c>
      <c r="O24">
        <v>-1</v>
      </c>
      <c r="P24">
        <v>-1</v>
      </c>
      <c r="Q24">
        <v>-1</v>
      </c>
      <c r="R24">
        <v>-1</v>
      </c>
      <c r="S24">
        <f t="shared" si="6"/>
        <v>-1</v>
      </c>
      <c r="T24">
        <v>-1</v>
      </c>
      <c r="U24">
        <v>-1</v>
      </c>
      <c r="V24">
        <f t="shared" si="7"/>
        <v>-2</v>
      </c>
      <c r="W24">
        <f t="shared" si="8"/>
        <v>-2</v>
      </c>
      <c r="X24">
        <v>-2</v>
      </c>
      <c r="Y24">
        <v>-2</v>
      </c>
      <c r="Z24">
        <v>-2</v>
      </c>
      <c r="AA24">
        <v>-2</v>
      </c>
      <c r="AB24">
        <f t="shared" si="9"/>
        <v>-2</v>
      </c>
      <c r="AC24">
        <v>-2</v>
      </c>
      <c r="AD24">
        <v>-2</v>
      </c>
      <c r="AE24">
        <v>-2</v>
      </c>
      <c r="AF24">
        <v>-2</v>
      </c>
      <c r="AG24">
        <v>-2</v>
      </c>
      <c r="AH24">
        <v>-2</v>
      </c>
      <c r="AI24">
        <v>-2</v>
      </c>
      <c r="AJ24">
        <v>-2</v>
      </c>
      <c r="AK24">
        <v>-2</v>
      </c>
      <c r="AL24">
        <f>IF(OR(AM24=-2,AR24=-2),-2,IF(OR(AM24=-1,AR24=-1),MAX(AM24,AR24),SUM(AM24+AR24)))</f>
        <v>-2</v>
      </c>
      <c r="AM24">
        <f t="shared" si="1"/>
        <v>-2</v>
      </c>
      <c r="AN24">
        <v>-2</v>
      </c>
      <c r="AO24">
        <v>-2</v>
      </c>
      <c r="AP24">
        <v>-2</v>
      </c>
      <c r="AQ24">
        <v>-2</v>
      </c>
      <c r="AR24">
        <f t="shared" si="2"/>
        <v>-2</v>
      </c>
      <c r="AS24">
        <v>-2</v>
      </c>
      <c r="AT24">
        <v>-2</v>
      </c>
      <c r="AU24">
        <v>-2</v>
      </c>
      <c r="AV24">
        <v>-2</v>
      </c>
      <c r="AW24">
        <v>-2</v>
      </c>
      <c r="AX24">
        <v>-2</v>
      </c>
      <c r="AY24">
        <f t="shared" si="10"/>
        <v>-2</v>
      </c>
      <c r="AZ24">
        <f t="shared" si="11"/>
        <v>-2</v>
      </c>
      <c r="BA24">
        <v>-2</v>
      </c>
      <c r="BB24">
        <v>-2</v>
      </c>
      <c r="BC24">
        <v>-2</v>
      </c>
      <c r="BD24">
        <v>-2</v>
      </c>
      <c r="BE24">
        <f t="shared" si="12"/>
        <v>-2</v>
      </c>
      <c r="BF24">
        <v>-2</v>
      </c>
      <c r="BG24">
        <v>-2</v>
      </c>
      <c r="BH24">
        <v>-2</v>
      </c>
      <c r="BI24">
        <v>-2</v>
      </c>
      <c r="BJ24">
        <v>-2</v>
      </c>
      <c r="BK24">
        <v>-2</v>
      </c>
      <c r="BL24">
        <v>-2</v>
      </c>
      <c r="BM24">
        <v>-2</v>
      </c>
      <c r="BN24">
        <v>-2</v>
      </c>
      <c r="BO24">
        <v>-2</v>
      </c>
      <c r="BP24">
        <v>-2</v>
      </c>
      <c r="BQ24">
        <v>-2</v>
      </c>
      <c r="BR24">
        <v>-2</v>
      </c>
      <c r="BS24">
        <v>-2</v>
      </c>
      <c r="BT24">
        <v>-2</v>
      </c>
    </row>
    <row r="25" spans="1:72" ht="12.75">
      <c r="A25">
        <f t="shared" si="13"/>
        <v>1939</v>
      </c>
      <c r="B25" s="10" t="s">
        <v>120</v>
      </c>
      <c r="C25" s="9" t="s">
        <v>149</v>
      </c>
      <c r="D25">
        <f t="shared" si="14"/>
        <v>-2</v>
      </c>
      <c r="E25">
        <f t="shared" si="3"/>
        <v>-2</v>
      </c>
      <c r="F25">
        <v>-2</v>
      </c>
      <c r="G25">
        <v>-2</v>
      </c>
      <c r="H25">
        <v>-2</v>
      </c>
      <c r="I25">
        <v>-2</v>
      </c>
      <c r="J25">
        <f t="shared" si="0"/>
        <v>-2</v>
      </c>
      <c r="K25">
        <v>-2</v>
      </c>
      <c r="L25">
        <v>-2</v>
      </c>
      <c r="M25">
        <f t="shared" si="4"/>
        <v>-1</v>
      </c>
      <c r="N25">
        <f t="shared" si="5"/>
        <v>-1</v>
      </c>
      <c r="O25">
        <v>-1</v>
      </c>
      <c r="P25">
        <v>-1</v>
      </c>
      <c r="Q25">
        <v>-1</v>
      </c>
      <c r="R25">
        <v>-1</v>
      </c>
      <c r="S25">
        <f t="shared" si="6"/>
        <v>-1</v>
      </c>
      <c r="T25">
        <v>-1</v>
      </c>
      <c r="U25">
        <v>-1</v>
      </c>
      <c r="V25">
        <f t="shared" si="7"/>
        <v>-2</v>
      </c>
      <c r="W25">
        <f t="shared" si="8"/>
        <v>-2</v>
      </c>
      <c r="X25">
        <v>-2</v>
      </c>
      <c r="Y25">
        <v>-2</v>
      </c>
      <c r="Z25">
        <v>-2</v>
      </c>
      <c r="AA25">
        <v>-2</v>
      </c>
      <c r="AB25">
        <f t="shared" si="9"/>
        <v>-2</v>
      </c>
      <c r="AC25">
        <v>-2</v>
      </c>
      <c r="AD25">
        <v>-2</v>
      </c>
      <c r="AE25">
        <v>-2</v>
      </c>
      <c r="AF25">
        <v>-2</v>
      </c>
      <c r="AG25">
        <v>-2</v>
      </c>
      <c r="AH25">
        <v>-2</v>
      </c>
      <c r="AI25">
        <v>-2</v>
      </c>
      <c r="AJ25">
        <v>-2</v>
      </c>
      <c r="AK25">
        <v>-2</v>
      </c>
      <c r="AL25">
        <f aca="true" t="shared" si="15" ref="AL25:AL30">IF(OR(AM25=-2,AR25=-2),-2,IF(OR(AM25=-1,AR25=-1),MAX(AM25,AR25),SUM(AM25+AR25)))</f>
        <v>-2</v>
      </c>
      <c r="AM25">
        <f aca="true" t="shared" si="16" ref="AM25:AM30">IF(OR(AN25&gt;=0,AO25&gt;=0,AP25&gt;=0,AQ25&gt;=0),SUMIF(AN25:AQ25,"&gt;=0",AN25:AQ25),MIN(AN25:AQ25))</f>
        <v>-2</v>
      </c>
      <c r="AN25">
        <v>-2</v>
      </c>
      <c r="AO25">
        <v>-2</v>
      </c>
      <c r="AP25">
        <v>-2</v>
      </c>
      <c r="AQ25">
        <v>-2</v>
      </c>
      <c r="AR25">
        <f aca="true" t="shared" si="17" ref="AR25:AR30">IF(OR(AS25&gt;=0,AT25&gt;=0),SUMIF(AS25:AT25,"&gt;=0",AS25:AT25),MIN(AS25:AT25))</f>
        <v>-2</v>
      </c>
      <c r="AS25">
        <v>-2</v>
      </c>
      <c r="AT25">
        <v>-2</v>
      </c>
      <c r="AU25">
        <v>-2</v>
      </c>
      <c r="AV25">
        <v>-2</v>
      </c>
      <c r="AW25">
        <v>-2</v>
      </c>
      <c r="AX25">
        <v>-2</v>
      </c>
      <c r="AY25">
        <f t="shared" si="10"/>
        <v>-2</v>
      </c>
      <c r="AZ25">
        <f t="shared" si="11"/>
        <v>-2</v>
      </c>
      <c r="BA25">
        <v>-2</v>
      </c>
      <c r="BB25">
        <v>-2</v>
      </c>
      <c r="BC25">
        <v>-2</v>
      </c>
      <c r="BD25">
        <v>-2</v>
      </c>
      <c r="BE25">
        <f t="shared" si="12"/>
        <v>-2</v>
      </c>
      <c r="BF25">
        <v>-2</v>
      </c>
      <c r="BG25">
        <v>-2</v>
      </c>
      <c r="BH25">
        <v>-2</v>
      </c>
      <c r="BI25">
        <v>-2</v>
      </c>
      <c r="BJ25">
        <v>-2</v>
      </c>
      <c r="BK25">
        <v>-2</v>
      </c>
      <c r="BL25">
        <v>-2</v>
      </c>
      <c r="BM25">
        <v>-2</v>
      </c>
      <c r="BN25">
        <v>-2</v>
      </c>
      <c r="BO25">
        <v>-2</v>
      </c>
      <c r="BP25">
        <v>-2</v>
      </c>
      <c r="BQ25">
        <v>-2</v>
      </c>
      <c r="BR25">
        <v>-2</v>
      </c>
      <c r="BS25">
        <v>-2</v>
      </c>
      <c r="BT25">
        <v>-2</v>
      </c>
    </row>
    <row r="26" spans="1:72" ht="12.75">
      <c r="A26">
        <f t="shared" si="13"/>
        <v>1940</v>
      </c>
      <c r="B26" s="10" t="s">
        <v>120</v>
      </c>
      <c r="C26" s="9" t="s">
        <v>149</v>
      </c>
      <c r="D26">
        <f t="shared" si="14"/>
        <v>-2</v>
      </c>
      <c r="E26">
        <f t="shared" si="3"/>
        <v>-2</v>
      </c>
      <c r="F26">
        <v>-2</v>
      </c>
      <c r="G26">
        <v>-2</v>
      </c>
      <c r="H26">
        <v>-2</v>
      </c>
      <c r="I26">
        <v>-2</v>
      </c>
      <c r="J26">
        <f t="shared" si="0"/>
        <v>-2</v>
      </c>
      <c r="K26">
        <v>-2</v>
      </c>
      <c r="L26">
        <v>-2</v>
      </c>
      <c r="M26">
        <f t="shared" si="4"/>
        <v>-1</v>
      </c>
      <c r="N26">
        <f t="shared" si="5"/>
        <v>-1</v>
      </c>
      <c r="O26">
        <v>-1</v>
      </c>
      <c r="P26">
        <v>-1</v>
      </c>
      <c r="Q26">
        <v>-1</v>
      </c>
      <c r="R26">
        <v>-1</v>
      </c>
      <c r="S26">
        <f t="shared" si="6"/>
        <v>-1</v>
      </c>
      <c r="T26">
        <v>-1</v>
      </c>
      <c r="U26">
        <v>-1</v>
      </c>
      <c r="V26">
        <f t="shared" si="7"/>
        <v>-2</v>
      </c>
      <c r="W26">
        <f t="shared" si="8"/>
        <v>-2</v>
      </c>
      <c r="X26">
        <v>-2</v>
      </c>
      <c r="Y26">
        <v>-2</v>
      </c>
      <c r="Z26">
        <v>-2</v>
      </c>
      <c r="AA26">
        <v>-2</v>
      </c>
      <c r="AB26">
        <f t="shared" si="9"/>
        <v>-2</v>
      </c>
      <c r="AC26">
        <v>-2</v>
      </c>
      <c r="AD26">
        <v>-2</v>
      </c>
      <c r="AE26">
        <v>-2</v>
      </c>
      <c r="AF26">
        <v>-2</v>
      </c>
      <c r="AG26">
        <v>-2</v>
      </c>
      <c r="AH26">
        <v>-2</v>
      </c>
      <c r="AI26">
        <v>-2</v>
      </c>
      <c r="AJ26">
        <v>-2</v>
      </c>
      <c r="AK26">
        <v>-2</v>
      </c>
      <c r="AL26">
        <f t="shared" si="15"/>
        <v>-2</v>
      </c>
      <c r="AM26">
        <f t="shared" si="16"/>
        <v>-2</v>
      </c>
      <c r="AN26">
        <v>-2</v>
      </c>
      <c r="AO26">
        <v>-2</v>
      </c>
      <c r="AP26">
        <v>-2</v>
      </c>
      <c r="AQ26">
        <v>-2</v>
      </c>
      <c r="AR26">
        <f t="shared" si="17"/>
        <v>-2</v>
      </c>
      <c r="AS26">
        <v>-2</v>
      </c>
      <c r="AT26">
        <v>-2</v>
      </c>
      <c r="AU26">
        <v>-2</v>
      </c>
      <c r="AV26">
        <v>-2</v>
      </c>
      <c r="AW26">
        <v>-2</v>
      </c>
      <c r="AX26">
        <v>-2</v>
      </c>
      <c r="AY26">
        <f t="shared" si="10"/>
        <v>-2</v>
      </c>
      <c r="AZ26">
        <f t="shared" si="11"/>
        <v>-2</v>
      </c>
      <c r="BA26">
        <v>-2</v>
      </c>
      <c r="BB26">
        <v>-2</v>
      </c>
      <c r="BC26">
        <v>-2</v>
      </c>
      <c r="BD26">
        <v>-2</v>
      </c>
      <c r="BE26">
        <f t="shared" si="12"/>
        <v>-2</v>
      </c>
      <c r="BF26">
        <v>-2</v>
      </c>
      <c r="BG26">
        <v>-2</v>
      </c>
      <c r="BH26">
        <v>-2</v>
      </c>
      <c r="BI26">
        <v>-2</v>
      </c>
      <c r="BJ26">
        <v>-2</v>
      </c>
      <c r="BK26">
        <v>-2</v>
      </c>
      <c r="BL26">
        <v>-2</v>
      </c>
      <c r="BM26">
        <v>-2</v>
      </c>
      <c r="BN26">
        <v>-2</v>
      </c>
      <c r="BO26">
        <v>-2</v>
      </c>
      <c r="BP26">
        <v>-2</v>
      </c>
      <c r="BQ26">
        <v>-2</v>
      </c>
      <c r="BR26">
        <v>-2</v>
      </c>
      <c r="BS26">
        <v>-2</v>
      </c>
      <c r="BT26">
        <v>-2</v>
      </c>
    </row>
    <row r="27" spans="1:72" ht="12.75">
      <c r="A27">
        <f t="shared" si="13"/>
        <v>1941</v>
      </c>
      <c r="B27" s="10" t="s">
        <v>120</v>
      </c>
      <c r="C27" s="9" t="s">
        <v>149</v>
      </c>
      <c r="D27">
        <f t="shared" si="14"/>
        <v>-2</v>
      </c>
      <c r="E27">
        <f t="shared" si="3"/>
        <v>-2</v>
      </c>
      <c r="F27">
        <v>-2</v>
      </c>
      <c r="G27">
        <v>-2</v>
      </c>
      <c r="H27">
        <v>-2</v>
      </c>
      <c r="I27">
        <v>-2</v>
      </c>
      <c r="J27">
        <f t="shared" si="0"/>
        <v>-2</v>
      </c>
      <c r="K27">
        <v>-2</v>
      </c>
      <c r="L27">
        <v>-2</v>
      </c>
      <c r="M27">
        <f t="shared" si="4"/>
        <v>-1</v>
      </c>
      <c r="N27">
        <f t="shared" si="5"/>
        <v>-1</v>
      </c>
      <c r="O27">
        <v>-1</v>
      </c>
      <c r="P27">
        <v>-1</v>
      </c>
      <c r="Q27">
        <v>-1</v>
      </c>
      <c r="R27">
        <v>-1</v>
      </c>
      <c r="S27">
        <f t="shared" si="6"/>
        <v>-1</v>
      </c>
      <c r="T27">
        <v>-1</v>
      </c>
      <c r="U27">
        <v>-1</v>
      </c>
      <c r="V27">
        <f t="shared" si="7"/>
        <v>-2</v>
      </c>
      <c r="W27">
        <f t="shared" si="8"/>
        <v>-2</v>
      </c>
      <c r="X27">
        <v>-2</v>
      </c>
      <c r="Y27">
        <v>-2</v>
      </c>
      <c r="Z27">
        <v>-2</v>
      </c>
      <c r="AA27">
        <v>-2</v>
      </c>
      <c r="AB27">
        <f t="shared" si="9"/>
        <v>-2</v>
      </c>
      <c r="AC27">
        <v>-2</v>
      </c>
      <c r="AD27">
        <v>-2</v>
      </c>
      <c r="AE27">
        <v>-2</v>
      </c>
      <c r="AF27">
        <v>-2</v>
      </c>
      <c r="AG27">
        <v>-2</v>
      </c>
      <c r="AH27">
        <v>-2</v>
      </c>
      <c r="AI27">
        <v>-2</v>
      </c>
      <c r="AJ27">
        <v>-2</v>
      </c>
      <c r="AK27">
        <v>-2</v>
      </c>
      <c r="AL27">
        <f t="shared" si="15"/>
        <v>-2</v>
      </c>
      <c r="AM27">
        <f t="shared" si="16"/>
        <v>-2</v>
      </c>
      <c r="AN27">
        <v>-2</v>
      </c>
      <c r="AO27">
        <v>-2</v>
      </c>
      <c r="AP27">
        <v>-2</v>
      </c>
      <c r="AQ27">
        <v>-2</v>
      </c>
      <c r="AR27">
        <f t="shared" si="17"/>
        <v>-2</v>
      </c>
      <c r="AS27">
        <v>-2</v>
      </c>
      <c r="AT27">
        <v>-2</v>
      </c>
      <c r="AU27">
        <v>-2</v>
      </c>
      <c r="AV27">
        <v>-2</v>
      </c>
      <c r="AW27">
        <v>-2</v>
      </c>
      <c r="AX27">
        <v>-2</v>
      </c>
      <c r="AY27">
        <f t="shared" si="10"/>
        <v>-2</v>
      </c>
      <c r="AZ27">
        <f t="shared" si="11"/>
        <v>-2</v>
      </c>
      <c r="BA27">
        <v>-2</v>
      </c>
      <c r="BB27">
        <v>-2</v>
      </c>
      <c r="BC27">
        <v>-2</v>
      </c>
      <c r="BD27">
        <v>-2</v>
      </c>
      <c r="BE27">
        <f t="shared" si="12"/>
        <v>-2</v>
      </c>
      <c r="BF27">
        <v>-2</v>
      </c>
      <c r="BG27">
        <v>-2</v>
      </c>
      <c r="BH27">
        <v>-2</v>
      </c>
      <c r="BI27">
        <v>-2</v>
      </c>
      <c r="BJ27">
        <v>-2</v>
      </c>
      <c r="BK27">
        <v>-2</v>
      </c>
      <c r="BL27">
        <v>-2</v>
      </c>
      <c r="BM27">
        <v>-2</v>
      </c>
      <c r="BN27">
        <v>-2</v>
      </c>
      <c r="BO27">
        <v>-2</v>
      </c>
      <c r="BP27">
        <v>-2</v>
      </c>
      <c r="BQ27">
        <v>-2</v>
      </c>
      <c r="BR27">
        <v>-2</v>
      </c>
      <c r="BS27">
        <v>-2</v>
      </c>
      <c r="BT27">
        <v>-2</v>
      </c>
    </row>
    <row r="28" spans="1:72" ht="12.75">
      <c r="A28">
        <f t="shared" si="13"/>
        <v>1942</v>
      </c>
      <c r="B28" s="10" t="s">
        <v>120</v>
      </c>
      <c r="C28" s="9" t="s">
        <v>149</v>
      </c>
      <c r="D28">
        <f t="shared" si="14"/>
        <v>-2</v>
      </c>
      <c r="E28">
        <f t="shared" si="3"/>
        <v>-2</v>
      </c>
      <c r="F28">
        <v>-2</v>
      </c>
      <c r="G28">
        <v>-2</v>
      </c>
      <c r="H28">
        <v>-2</v>
      </c>
      <c r="I28">
        <v>-2</v>
      </c>
      <c r="J28">
        <f t="shared" si="0"/>
        <v>-2</v>
      </c>
      <c r="K28">
        <v>-2</v>
      </c>
      <c r="L28">
        <v>-2</v>
      </c>
      <c r="M28">
        <f t="shared" si="4"/>
        <v>-1</v>
      </c>
      <c r="N28">
        <f t="shared" si="5"/>
        <v>-1</v>
      </c>
      <c r="O28">
        <v>-1</v>
      </c>
      <c r="P28">
        <v>-1</v>
      </c>
      <c r="Q28">
        <v>-1</v>
      </c>
      <c r="R28">
        <v>-1</v>
      </c>
      <c r="S28">
        <f t="shared" si="6"/>
        <v>-1</v>
      </c>
      <c r="T28">
        <v>-1</v>
      </c>
      <c r="U28">
        <v>-1</v>
      </c>
      <c r="V28">
        <f t="shared" si="7"/>
        <v>-2</v>
      </c>
      <c r="W28">
        <f t="shared" si="8"/>
        <v>-2</v>
      </c>
      <c r="X28">
        <v>-2</v>
      </c>
      <c r="Y28">
        <v>-2</v>
      </c>
      <c r="Z28">
        <v>-2</v>
      </c>
      <c r="AA28">
        <v>-2</v>
      </c>
      <c r="AB28">
        <f t="shared" si="9"/>
        <v>-2</v>
      </c>
      <c r="AC28">
        <v>-2</v>
      </c>
      <c r="AD28">
        <v>-2</v>
      </c>
      <c r="AE28">
        <v>-2</v>
      </c>
      <c r="AF28">
        <v>-2</v>
      </c>
      <c r="AG28">
        <v>-2</v>
      </c>
      <c r="AH28">
        <v>-2</v>
      </c>
      <c r="AI28">
        <v>-2</v>
      </c>
      <c r="AJ28">
        <v>-2</v>
      </c>
      <c r="AK28">
        <v>-2</v>
      </c>
      <c r="AL28">
        <f t="shared" si="15"/>
        <v>-2</v>
      </c>
      <c r="AM28">
        <f t="shared" si="16"/>
        <v>-2</v>
      </c>
      <c r="AN28">
        <v>-2</v>
      </c>
      <c r="AO28">
        <v>-2</v>
      </c>
      <c r="AP28">
        <v>-2</v>
      </c>
      <c r="AQ28">
        <v>-2</v>
      </c>
      <c r="AR28">
        <f t="shared" si="17"/>
        <v>-2</v>
      </c>
      <c r="AS28">
        <v>-2</v>
      </c>
      <c r="AT28">
        <v>-2</v>
      </c>
      <c r="AU28">
        <v>-2</v>
      </c>
      <c r="AV28">
        <v>-2</v>
      </c>
      <c r="AW28">
        <v>-2</v>
      </c>
      <c r="AX28">
        <v>-2</v>
      </c>
      <c r="AY28">
        <f t="shared" si="10"/>
        <v>-2</v>
      </c>
      <c r="AZ28">
        <f t="shared" si="11"/>
        <v>-2</v>
      </c>
      <c r="BA28">
        <v>-2</v>
      </c>
      <c r="BB28">
        <v>-2</v>
      </c>
      <c r="BC28">
        <v>-2</v>
      </c>
      <c r="BD28">
        <v>-2</v>
      </c>
      <c r="BE28">
        <f t="shared" si="12"/>
        <v>-2</v>
      </c>
      <c r="BF28">
        <v>-2</v>
      </c>
      <c r="BG28">
        <v>-2</v>
      </c>
      <c r="BH28">
        <v>-2</v>
      </c>
      <c r="BI28">
        <v>-2</v>
      </c>
      <c r="BJ28">
        <v>-2</v>
      </c>
      <c r="BK28">
        <v>-2</v>
      </c>
      <c r="BL28">
        <v>-2</v>
      </c>
      <c r="BM28">
        <v>-2</v>
      </c>
      <c r="BN28">
        <v>-2</v>
      </c>
      <c r="BO28">
        <v>-2</v>
      </c>
      <c r="BP28">
        <v>-2</v>
      </c>
      <c r="BQ28">
        <v>-2</v>
      </c>
      <c r="BR28">
        <v>-2</v>
      </c>
      <c r="BS28">
        <v>-2</v>
      </c>
      <c r="BT28">
        <v>-2</v>
      </c>
    </row>
    <row r="29" spans="1:72" ht="12.75">
      <c r="A29">
        <f t="shared" si="13"/>
        <v>1943</v>
      </c>
      <c r="B29" s="10" t="s">
        <v>120</v>
      </c>
      <c r="C29" s="9" t="s">
        <v>149</v>
      </c>
      <c r="D29">
        <f t="shared" si="14"/>
        <v>-2</v>
      </c>
      <c r="E29">
        <f t="shared" si="3"/>
        <v>-2</v>
      </c>
      <c r="F29">
        <v>-2</v>
      </c>
      <c r="G29">
        <v>-2</v>
      </c>
      <c r="H29">
        <v>-2</v>
      </c>
      <c r="I29">
        <v>-2</v>
      </c>
      <c r="J29">
        <f t="shared" si="0"/>
        <v>-2</v>
      </c>
      <c r="K29">
        <v>-2</v>
      </c>
      <c r="L29">
        <v>-2</v>
      </c>
      <c r="M29">
        <f t="shared" si="4"/>
        <v>-1</v>
      </c>
      <c r="N29">
        <f t="shared" si="5"/>
        <v>-1</v>
      </c>
      <c r="O29">
        <v>-1</v>
      </c>
      <c r="P29">
        <v>-1</v>
      </c>
      <c r="Q29">
        <v>-1</v>
      </c>
      <c r="R29">
        <v>-1</v>
      </c>
      <c r="S29">
        <f t="shared" si="6"/>
        <v>-1</v>
      </c>
      <c r="T29">
        <v>-1</v>
      </c>
      <c r="U29">
        <v>-1</v>
      </c>
      <c r="V29">
        <f t="shared" si="7"/>
        <v>-2</v>
      </c>
      <c r="W29">
        <f t="shared" si="8"/>
        <v>-2</v>
      </c>
      <c r="X29">
        <v>-2</v>
      </c>
      <c r="Y29">
        <v>-2</v>
      </c>
      <c r="Z29">
        <v>-2</v>
      </c>
      <c r="AA29">
        <v>-2</v>
      </c>
      <c r="AB29">
        <f t="shared" si="9"/>
        <v>-2</v>
      </c>
      <c r="AC29">
        <v>-2</v>
      </c>
      <c r="AD29">
        <v>-2</v>
      </c>
      <c r="AE29">
        <v>-2</v>
      </c>
      <c r="AF29">
        <v>-2</v>
      </c>
      <c r="AG29">
        <v>-2</v>
      </c>
      <c r="AH29">
        <v>-2</v>
      </c>
      <c r="AI29">
        <v>-2</v>
      </c>
      <c r="AJ29">
        <v>-2</v>
      </c>
      <c r="AK29">
        <v>-2</v>
      </c>
      <c r="AL29">
        <f t="shared" si="15"/>
        <v>-2</v>
      </c>
      <c r="AM29">
        <f t="shared" si="16"/>
        <v>-2</v>
      </c>
      <c r="AN29">
        <v>-2</v>
      </c>
      <c r="AO29">
        <v>-2</v>
      </c>
      <c r="AP29">
        <v>-2</v>
      </c>
      <c r="AQ29">
        <v>-2</v>
      </c>
      <c r="AR29">
        <f t="shared" si="17"/>
        <v>-2</v>
      </c>
      <c r="AS29">
        <v>-2</v>
      </c>
      <c r="AT29">
        <v>-2</v>
      </c>
      <c r="AU29">
        <v>-2</v>
      </c>
      <c r="AV29">
        <v>-2</v>
      </c>
      <c r="AW29">
        <v>-2</v>
      </c>
      <c r="AX29">
        <v>-2</v>
      </c>
      <c r="AY29">
        <f t="shared" si="10"/>
        <v>-2</v>
      </c>
      <c r="AZ29">
        <f t="shared" si="11"/>
        <v>-2</v>
      </c>
      <c r="BA29">
        <v>-2</v>
      </c>
      <c r="BB29">
        <v>-2</v>
      </c>
      <c r="BC29">
        <v>-2</v>
      </c>
      <c r="BD29">
        <v>-2</v>
      </c>
      <c r="BE29">
        <f t="shared" si="12"/>
        <v>-2</v>
      </c>
      <c r="BF29">
        <v>-2</v>
      </c>
      <c r="BG29">
        <v>-2</v>
      </c>
      <c r="BH29">
        <v>-2</v>
      </c>
      <c r="BI29">
        <v>-2</v>
      </c>
      <c r="BJ29">
        <v>-2</v>
      </c>
      <c r="BK29">
        <v>-2</v>
      </c>
      <c r="BL29">
        <v>-2</v>
      </c>
      <c r="BM29">
        <v>-2</v>
      </c>
      <c r="BN29">
        <v>-2</v>
      </c>
      <c r="BO29">
        <v>-2</v>
      </c>
      <c r="BP29">
        <v>-2</v>
      </c>
      <c r="BQ29">
        <v>-2</v>
      </c>
      <c r="BR29">
        <v>-2</v>
      </c>
      <c r="BS29">
        <v>-2</v>
      </c>
      <c r="BT29">
        <v>-2</v>
      </c>
    </row>
    <row r="30" spans="1:72" ht="12.75">
      <c r="A30">
        <f t="shared" si="13"/>
        <v>1944</v>
      </c>
      <c r="B30" s="10" t="s">
        <v>120</v>
      </c>
      <c r="C30" s="9" t="s">
        <v>149</v>
      </c>
      <c r="D30">
        <f t="shared" si="14"/>
        <v>-2</v>
      </c>
      <c r="E30">
        <f t="shared" si="3"/>
        <v>-2</v>
      </c>
      <c r="F30">
        <v>-2</v>
      </c>
      <c r="G30">
        <v>-2</v>
      </c>
      <c r="H30">
        <v>-2</v>
      </c>
      <c r="I30">
        <v>-2</v>
      </c>
      <c r="J30">
        <f t="shared" si="0"/>
        <v>-2</v>
      </c>
      <c r="K30">
        <v>-2</v>
      </c>
      <c r="L30">
        <v>-2</v>
      </c>
      <c r="M30">
        <f t="shared" si="4"/>
        <v>-1</v>
      </c>
      <c r="N30">
        <f t="shared" si="5"/>
        <v>-1</v>
      </c>
      <c r="O30">
        <v>-1</v>
      </c>
      <c r="P30">
        <v>-1</v>
      </c>
      <c r="Q30">
        <v>-1</v>
      </c>
      <c r="R30">
        <v>-1</v>
      </c>
      <c r="S30">
        <f t="shared" si="6"/>
        <v>-1</v>
      </c>
      <c r="T30">
        <v>-1</v>
      </c>
      <c r="U30">
        <v>-1</v>
      </c>
      <c r="V30">
        <f t="shared" si="7"/>
        <v>-2</v>
      </c>
      <c r="W30">
        <f t="shared" si="8"/>
        <v>-2</v>
      </c>
      <c r="X30">
        <v>-2</v>
      </c>
      <c r="Y30">
        <v>-2</v>
      </c>
      <c r="Z30">
        <v>-2</v>
      </c>
      <c r="AA30">
        <v>-2</v>
      </c>
      <c r="AB30">
        <f t="shared" si="9"/>
        <v>-2</v>
      </c>
      <c r="AC30">
        <v>-2</v>
      </c>
      <c r="AD30">
        <v>-2</v>
      </c>
      <c r="AE30">
        <v>-2</v>
      </c>
      <c r="AF30">
        <v>-2</v>
      </c>
      <c r="AG30">
        <v>-2</v>
      </c>
      <c r="AH30">
        <v>-2</v>
      </c>
      <c r="AI30">
        <v>-2</v>
      </c>
      <c r="AJ30">
        <v>-2</v>
      </c>
      <c r="AK30">
        <v>-2</v>
      </c>
      <c r="AL30">
        <f t="shared" si="15"/>
        <v>-2</v>
      </c>
      <c r="AM30">
        <f t="shared" si="16"/>
        <v>-2</v>
      </c>
      <c r="AN30">
        <v>-2</v>
      </c>
      <c r="AO30">
        <v>-2</v>
      </c>
      <c r="AP30">
        <v>-2</v>
      </c>
      <c r="AQ30">
        <v>-2</v>
      </c>
      <c r="AR30">
        <f t="shared" si="17"/>
        <v>-2</v>
      </c>
      <c r="AS30">
        <v>-2</v>
      </c>
      <c r="AT30">
        <v>-2</v>
      </c>
      <c r="AU30">
        <v>-2</v>
      </c>
      <c r="AV30">
        <v>-2</v>
      </c>
      <c r="AW30">
        <v>-2</v>
      </c>
      <c r="AX30">
        <v>-2</v>
      </c>
      <c r="AY30">
        <f t="shared" si="10"/>
        <v>-2</v>
      </c>
      <c r="AZ30">
        <f t="shared" si="11"/>
        <v>-2</v>
      </c>
      <c r="BA30">
        <v>-2</v>
      </c>
      <c r="BB30">
        <v>-2</v>
      </c>
      <c r="BC30">
        <v>-2</v>
      </c>
      <c r="BD30">
        <v>-2</v>
      </c>
      <c r="BE30">
        <f t="shared" si="12"/>
        <v>-2</v>
      </c>
      <c r="BF30">
        <v>-2</v>
      </c>
      <c r="BG30">
        <v>-2</v>
      </c>
      <c r="BH30">
        <v>-2</v>
      </c>
      <c r="BI30">
        <v>-2</v>
      </c>
      <c r="BJ30">
        <v>-2</v>
      </c>
      <c r="BK30">
        <v>-2</v>
      </c>
      <c r="BL30">
        <v>-2</v>
      </c>
      <c r="BM30">
        <v>-2</v>
      </c>
      <c r="BN30">
        <v>-2</v>
      </c>
      <c r="BO30">
        <v>-2</v>
      </c>
      <c r="BP30">
        <v>-2</v>
      </c>
      <c r="BQ30">
        <v>-2</v>
      </c>
      <c r="BR30">
        <v>-2</v>
      </c>
      <c r="BS30">
        <v>-2</v>
      </c>
      <c r="BT30">
        <v>-2</v>
      </c>
    </row>
    <row r="31" spans="1:72" ht="12.75">
      <c r="A31">
        <f t="shared" si="13"/>
        <v>1945</v>
      </c>
      <c r="B31" s="10" t="s">
        <v>120</v>
      </c>
      <c r="C31" s="9" t="s">
        <v>149</v>
      </c>
      <c r="D31">
        <v>558</v>
      </c>
      <c r="E31">
        <f t="shared" si="3"/>
        <v>-2</v>
      </c>
      <c r="F31">
        <v>-2</v>
      </c>
      <c r="G31">
        <v>-2</v>
      </c>
      <c r="H31">
        <v>-2</v>
      </c>
      <c r="I31">
        <v>-2</v>
      </c>
      <c r="J31">
        <f aca="true" t="shared" si="18" ref="J31:J84">IF(OR(K31&gt;=0,L31&gt;0),SUMIF(K31:L31,"&gt;=0",K31:L31),MIN(K31:L31))</f>
        <v>-2</v>
      </c>
      <c r="K31">
        <v>-2</v>
      </c>
      <c r="L31">
        <v>-2</v>
      </c>
      <c r="M31">
        <f t="shared" si="4"/>
        <v>-1</v>
      </c>
      <c r="N31">
        <f t="shared" si="5"/>
        <v>-1</v>
      </c>
      <c r="O31">
        <v>-1</v>
      </c>
      <c r="P31">
        <v>-1</v>
      </c>
      <c r="Q31">
        <v>-1</v>
      </c>
      <c r="R31">
        <v>-1</v>
      </c>
      <c r="S31">
        <f t="shared" si="6"/>
        <v>-1</v>
      </c>
      <c r="T31">
        <v>-1</v>
      </c>
      <c r="U31">
        <v>-1</v>
      </c>
      <c r="V31">
        <f t="shared" si="7"/>
        <v>-2</v>
      </c>
      <c r="W31">
        <f t="shared" si="8"/>
        <v>-2</v>
      </c>
      <c r="X31">
        <v>-2</v>
      </c>
      <c r="Y31">
        <v>-2</v>
      </c>
      <c r="Z31">
        <v>-2</v>
      </c>
      <c r="AA31">
        <v>-2</v>
      </c>
      <c r="AB31">
        <f t="shared" si="9"/>
        <v>-2</v>
      </c>
      <c r="AC31">
        <v>-2</v>
      </c>
      <c r="AD31">
        <v>-2</v>
      </c>
      <c r="AE31">
        <v>-2</v>
      </c>
      <c r="AF31">
        <v>-2</v>
      </c>
      <c r="AG31">
        <v>-2</v>
      </c>
      <c r="AH31">
        <v>-2</v>
      </c>
      <c r="AI31">
        <v>-2</v>
      </c>
      <c r="AJ31">
        <v>-2</v>
      </c>
      <c r="AK31">
        <v>-2</v>
      </c>
      <c r="AL31">
        <v>36181</v>
      </c>
      <c r="AM31">
        <f aca="true" t="shared" si="19" ref="AM31:AM57">IF(OR(AN31&gt;=0,AO31&gt;=0,AP31&gt;=0,AQ31&gt;=0),SUMIF(AN31:AQ31,"&gt;=0",AN31:AQ31),MIN(AN31:AQ31))</f>
        <v>-2</v>
      </c>
      <c r="AN31">
        <v>-2</v>
      </c>
      <c r="AO31">
        <v>-2</v>
      </c>
      <c r="AP31">
        <v>-2</v>
      </c>
      <c r="AQ31">
        <v>-2</v>
      </c>
      <c r="AR31">
        <f aca="true" t="shared" si="20" ref="AR31:AR53">IF(OR(AS31&gt;=0,AT31&gt;=0),SUMIF(AS31:AT31,"&gt;=0",AS31:AT31),MIN(AS31:AT31))</f>
        <v>-2</v>
      </c>
      <c r="AS31">
        <v>-2</v>
      </c>
      <c r="AT31">
        <v>-2</v>
      </c>
      <c r="AU31">
        <v>-2</v>
      </c>
      <c r="AV31">
        <v>-2</v>
      </c>
      <c r="AW31">
        <v>-2</v>
      </c>
      <c r="AX31">
        <v>-2</v>
      </c>
      <c r="AY31">
        <f t="shared" si="10"/>
        <v>-2</v>
      </c>
      <c r="AZ31">
        <f t="shared" si="11"/>
        <v>-2</v>
      </c>
      <c r="BA31">
        <v>-2</v>
      </c>
      <c r="BB31">
        <v>-2</v>
      </c>
      <c r="BC31">
        <v>-2</v>
      </c>
      <c r="BD31">
        <v>-2</v>
      </c>
      <c r="BE31">
        <f t="shared" si="12"/>
        <v>-2</v>
      </c>
      <c r="BF31">
        <v>-2</v>
      </c>
      <c r="BG31">
        <v>-2</v>
      </c>
      <c r="BH31">
        <v>-2</v>
      </c>
      <c r="BI31">
        <v>-2</v>
      </c>
      <c r="BJ31">
        <v>-2</v>
      </c>
      <c r="BK31">
        <v>-2</v>
      </c>
      <c r="BL31">
        <v>-2</v>
      </c>
      <c r="BM31">
        <v>-2</v>
      </c>
      <c r="BN31">
        <v>-2</v>
      </c>
      <c r="BO31">
        <v>-2</v>
      </c>
      <c r="BP31">
        <v>-2</v>
      </c>
      <c r="BQ31">
        <v>-2</v>
      </c>
      <c r="BR31">
        <v>-2</v>
      </c>
      <c r="BS31">
        <v>-2</v>
      </c>
      <c r="BT31">
        <v>-2</v>
      </c>
    </row>
    <row r="32" spans="1:72" ht="12.75">
      <c r="A32">
        <f t="shared" si="13"/>
        <v>1946</v>
      </c>
      <c r="B32" s="10" t="s">
        <v>120</v>
      </c>
      <c r="C32" s="9" t="s">
        <v>149</v>
      </c>
      <c r="D32">
        <v>814</v>
      </c>
      <c r="E32">
        <f t="shared" si="3"/>
        <v>-2</v>
      </c>
      <c r="F32">
        <v>-2</v>
      </c>
      <c r="G32">
        <v>-2</v>
      </c>
      <c r="H32">
        <v>-2</v>
      </c>
      <c r="I32">
        <v>-2</v>
      </c>
      <c r="J32">
        <f t="shared" si="18"/>
        <v>-2</v>
      </c>
      <c r="K32">
        <v>-2</v>
      </c>
      <c r="L32">
        <v>-2</v>
      </c>
      <c r="M32">
        <f t="shared" si="4"/>
        <v>-1</v>
      </c>
      <c r="N32">
        <f t="shared" si="5"/>
        <v>-1</v>
      </c>
      <c r="O32">
        <v>-1</v>
      </c>
      <c r="P32">
        <v>-1</v>
      </c>
      <c r="Q32">
        <v>-1</v>
      </c>
      <c r="R32">
        <v>-1</v>
      </c>
      <c r="S32">
        <f t="shared" si="6"/>
        <v>-1</v>
      </c>
      <c r="T32">
        <v>-1</v>
      </c>
      <c r="U32">
        <v>-1</v>
      </c>
      <c r="V32">
        <f t="shared" si="7"/>
        <v>-2</v>
      </c>
      <c r="W32">
        <f t="shared" si="8"/>
        <v>-2</v>
      </c>
      <c r="X32">
        <v>-2</v>
      </c>
      <c r="Y32">
        <v>-2</v>
      </c>
      <c r="Z32">
        <v>-2</v>
      </c>
      <c r="AA32">
        <v>-2</v>
      </c>
      <c r="AB32">
        <f t="shared" si="9"/>
        <v>-2</v>
      </c>
      <c r="AC32">
        <v>-2</v>
      </c>
      <c r="AD32">
        <v>-2</v>
      </c>
      <c r="AE32">
        <v>-2</v>
      </c>
      <c r="AF32">
        <v>-2</v>
      </c>
      <c r="AG32">
        <v>-2</v>
      </c>
      <c r="AH32">
        <v>-2</v>
      </c>
      <c r="AI32">
        <v>-2</v>
      </c>
      <c r="AJ32">
        <v>-2</v>
      </c>
      <c r="AK32">
        <v>-2</v>
      </c>
      <c r="AL32">
        <v>53346</v>
      </c>
      <c r="AM32">
        <f t="shared" si="19"/>
        <v>-2</v>
      </c>
      <c r="AN32">
        <v>-2</v>
      </c>
      <c r="AO32">
        <v>-2</v>
      </c>
      <c r="AP32">
        <v>-2</v>
      </c>
      <c r="AQ32">
        <v>-2</v>
      </c>
      <c r="AR32">
        <f t="shared" si="20"/>
        <v>-2</v>
      </c>
      <c r="AS32">
        <v>-2</v>
      </c>
      <c r="AT32">
        <v>-2</v>
      </c>
      <c r="AU32">
        <v>-2</v>
      </c>
      <c r="AV32">
        <v>-2</v>
      </c>
      <c r="AW32">
        <v>-2</v>
      </c>
      <c r="AX32">
        <v>-2</v>
      </c>
      <c r="AY32">
        <f t="shared" si="10"/>
        <v>-2</v>
      </c>
      <c r="AZ32">
        <f t="shared" si="11"/>
        <v>-2</v>
      </c>
      <c r="BA32">
        <v>-2</v>
      </c>
      <c r="BB32">
        <v>-2</v>
      </c>
      <c r="BC32">
        <v>-2</v>
      </c>
      <c r="BD32">
        <v>-2</v>
      </c>
      <c r="BE32">
        <f t="shared" si="12"/>
        <v>-2</v>
      </c>
      <c r="BF32">
        <v>-2</v>
      </c>
      <c r="BG32">
        <v>-2</v>
      </c>
      <c r="BH32">
        <v>-2</v>
      </c>
      <c r="BI32">
        <v>-2</v>
      </c>
      <c r="BJ32">
        <v>-2</v>
      </c>
      <c r="BK32">
        <v>-2</v>
      </c>
      <c r="BL32">
        <v>-2</v>
      </c>
      <c r="BM32">
        <v>-2</v>
      </c>
      <c r="BN32">
        <v>-2</v>
      </c>
      <c r="BO32">
        <v>-2</v>
      </c>
      <c r="BP32">
        <v>-2</v>
      </c>
      <c r="BQ32">
        <v>-2</v>
      </c>
      <c r="BR32">
        <v>-2</v>
      </c>
      <c r="BS32">
        <v>-2</v>
      </c>
      <c r="BT32">
        <v>-2</v>
      </c>
    </row>
    <row r="33" spans="1:72" ht="12.75">
      <c r="A33">
        <f t="shared" si="13"/>
        <v>1947</v>
      </c>
      <c r="B33" s="10" t="s">
        <v>120</v>
      </c>
      <c r="C33" s="9" t="s">
        <v>149</v>
      </c>
      <c r="D33">
        <v>894</v>
      </c>
      <c r="E33">
        <f t="shared" si="3"/>
        <v>-2</v>
      </c>
      <c r="F33">
        <v>-2</v>
      </c>
      <c r="G33">
        <v>-2</v>
      </c>
      <c r="H33">
        <v>-2</v>
      </c>
      <c r="I33">
        <v>-2</v>
      </c>
      <c r="J33">
        <f t="shared" si="18"/>
        <v>-2</v>
      </c>
      <c r="K33">
        <v>-2</v>
      </c>
      <c r="L33">
        <v>-2</v>
      </c>
      <c r="M33">
        <f t="shared" si="4"/>
        <v>-1</v>
      </c>
      <c r="N33">
        <f t="shared" si="5"/>
        <v>-1</v>
      </c>
      <c r="O33">
        <v>-1</v>
      </c>
      <c r="P33">
        <v>-1</v>
      </c>
      <c r="Q33">
        <v>-1</v>
      </c>
      <c r="R33">
        <v>-1</v>
      </c>
      <c r="S33">
        <f t="shared" si="6"/>
        <v>-1</v>
      </c>
      <c r="T33">
        <v>-1</v>
      </c>
      <c r="U33">
        <v>-1</v>
      </c>
      <c r="V33">
        <f t="shared" si="7"/>
        <v>-2</v>
      </c>
      <c r="W33">
        <f t="shared" si="8"/>
        <v>-2</v>
      </c>
      <c r="X33">
        <v>-2</v>
      </c>
      <c r="Y33">
        <v>-2</v>
      </c>
      <c r="Z33">
        <v>-2</v>
      </c>
      <c r="AA33">
        <v>-2</v>
      </c>
      <c r="AB33">
        <f t="shared" si="9"/>
        <v>-2</v>
      </c>
      <c r="AC33">
        <v>-2</v>
      </c>
      <c r="AD33">
        <v>-2</v>
      </c>
      <c r="AE33">
        <v>-2</v>
      </c>
      <c r="AF33">
        <v>-2</v>
      </c>
      <c r="AG33">
        <v>-2</v>
      </c>
      <c r="AH33">
        <v>-2</v>
      </c>
      <c r="AI33">
        <v>-2</v>
      </c>
      <c r="AJ33">
        <v>-2</v>
      </c>
      <c r="AK33">
        <v>-2</v>
      </c>
      <c r="AL33">
        <v>57920</v>
      </c>
      <c r="AM33">
        <f t="shared" si="19"/>
        <v>-2</v>
      </c>
      <c r="AN33">
        <v>-2</v>
      </c>
      <c r="AO33">
        <v>-2</v>
      </c>
      <c r="AP33">
        <v>-2</v>
      </c>
      <c r="AQ33">
        <v>-2</v>
      </c>
      <c r="AR33">
        <f t="shared" si="20"/>
        <v>-2</v>
      </c>
      <c r="AS33">
        <v>-2</v>
      </c>
      <c r="AT33">
        <v>-2</v>
      </c>
      <c r="AU33">
        <v>-2</v>
      </c>
      <c r="AV33">
        <v>-2</v>
      </c>
      <c r="AW33">
        <v>-2</v>
      </c>
      <c r="AX33">
        <v>-2</v>
      </c>
      <c r="AY33">
        <f t="shared" si="10"/>
        <v>-2</v>
      </c>
      <c r="AZ33">
        <f t="shared" si="11"/>
        <v>-2</v>
      </c>
      <c r="BA33">
        <v>-2</v>
      </c>
      <c r="BB33">
        <v>-2</v>
      </c>
      <c r="BC33">
        <v>-2</v>
      </c>
      <c r="BD33">
        <v>-2</v>
      </c>
      <c r="BE33">
        <f t="shared" si="12"/>
        <v>-2</v>
      </c>
      <c r="BF33">
        <v>-2</v>
      </c>
      <c r="BG33">
        <v>-2</v>
      </c>
      <c r="BH33">
        <v>-2</v>
      </c>
      <c r="BI33">
        <v>-2</v>
      </c>
      <c r="BJ33">
        <v>-2</v>
      </c>
      <c r="BK33">
        <v>-2</v>
      </c>
      <c r="BL33">
        <v>-2</v>
      </c>
      <c r="BM33">
        <v>-2</v>
      </c>
      <c r="BN33">
        <v>-2</v>
      </c>
      <c r="BO33">
        <v>-2</v>
      </c>
      <c r="BP33">
        <v>-2</v>
      </c>
      <c r="BQ33">
        <v>-2</v>
      </c>
      <c r="BR33">
        <v>-2</v>
      </c>
      <c r="BS33">
        <v>-2</v>
      </c>
      <c r="BT33">
        <v>-2</v>
      </c>
    </row>
    <row r="34" spans="1:72" ht="12.75">
      <c r="A34">
        <f t="shared" si="13"/>
        <v>1948</v>
      </c>
      <c r="B34" s="10" t="s">
        <v>120</v>
      </c>
      <c r="C34" s="9" t="s">
        <v>149</v>
      </c>
      <c r="D34">
        <v>1035</v>
      </c>
      <c r="E34">
        <f t="shared" si="3"/>
        <v>-2</v>
      </c>
      <c r="F34">
        <v>-2</v>
      </c>
      <c r="G34">
        <v>-2</v>
      </c>
      <c r="H34">
        <v>-2</v>
      </c>
      <c r="I34">
        <v>-2</v>
      </c>
      <c r="J34">
        <f t="shared" si="18"/>
        <v>-2</v>
      </c>
      <c r="K34">
        <v>-2</v>
      </c>
      <c r="L34">
        <v>-2</v>
      </c>
      <c r="M34">
        <f t="shared" si="4"/>
        <v>-1</v>
      </c>
      <c r="N34">
        <f t="shared" si="5"/>
        <v>-1</v>
      </c>
      <c r="O34">
        <v>-1</v>
      </c>
      <c r="P34">
        <v>-1</v>
      </c>
      <c r="Q34">
        <v>-1</v>
      </c>
      <c r="R34">
        <v>-1</v>
      </c>
      <c r="S34">
        <f t="shared" si="6"/>
        <v>-1</v>
      </c>
      <c r="T34">
        <v>-1</v>
      </c>
      <c r="U34">
        <v>-1</v>
      </c>
      <c r="V34">
        <f t="shared" si="7"/>
        <v>-2</v>
      </c>
      <c r="W34">
        <f t="shared" si="8"/>
        <v>-2</v>
      </c>
      <c r="X34">
        <v>-2</v>
      </c>
      <c r="Y34">
        <v>-2</v>
      </c>
      <c r="Z34">
        <v>-2</v>
      </c>
      <c r="AA34">
        <v>-2</v>
      </c>
      <c r="AB34">
        <f t="shared" si="9"/>
        <v>-2</v>
      </c>
      <c r="AC34">
        <v>-2</v>
      </c>
      <c r="AD34">
        <v>-2</v>
      </c>
      <c r="AE34">
        <v>-2</v>
      </c>
      <c r="AF34">
        <v>-2</v>
      </c>
      <c r="AG34">
        <v>-2</v>
      </c>
      <c r="AH34">
        <v>-2</v>
      </c>
      <c r="AI34">
        <v>-2</v>
      </c>
      <c r="AJ34">
        <v>-2</v>
      </c>
      <c r="AK34">
        <v>-2</v>
      </c>
      <c r="AL34">
        <v>62627</v>
      </c>
      <c r="AM34">
        <f t="shared" si="19"/>
        <v>-2</v>
      </c>
      <c r="AN34">
        <v>-2</v>
      </c>
      <c r="AO34">
        <v>-2</v>
      </c>
      <c r="AP34">
        <v>-2</v>
      </c>
      <c r="AQ34">
        <v>-2</v>
      </c>
      <c r="AR34">
        <f t="shared" si="20"/>
        <v>-2</v>
      </c>
      <c r="AS34">
        <v>-2</v>
      </c>
      <c r="AT34">
        <v>-2</v>
      </c>
      <c r="AU34">
        <v>-2</v>
      </c>
      <c r="AV34">
        <v>-2</v>
      </c>
      <c r="AW34">
        <v>-2</v>
      </c>
      <c r="AX34">
        <v>-2</v>
      </c>
      <c r="AY34">
        <f t="shared" si="10"/>
        <v>-2</v>
      </c>
      <c r="AZ34">
        <f t="shared" si="11"/>
        <v>-2</v>
      </c>
      <c r="BA34">
        <v>-2</v>
      </c>
      <c r="BB34">
        <v>-2</v>
      </c>
      <c r="BC34">
        <v>-2</v>
      </c>
      <c r="BD34">
        <v>-2</v>
      </c>
      <c r="BE34">
        <f t="shared" si="12"/>
        <v>-2</v>
      </c>
      <c r="BF34">
        <v>-2</v>
      </c>
      <c r="BG34">
        <v>-2</v>
      </c>
      <c r="BH34">
        <v>-2</v>
      </c>
      <c r="BI34">
        <v>-2</v>
      </c>
      <c r="BJ34">
        <v>-2</v>
      </c>
      <c r="BK34">
        <v>-2</v>
      </c>
      <c r="BL34">
        <v>-2</v>
      </c>
      <c r="BM34">
        <v>-2</v>
      </c>
      <c r="BN34">
        <v>-2</v>
      </c>
      <c r="BO34">
        <v>-2</v>
      </c>
      <c r="BP34">
        <v>-2</v>
      </c>
      <c r="BQ34">
        <v>-2</v>
      </c>
      <c r="BR34">
        <v>-2</v>
      </c>
      <c r="BS34">
        <v>-2</v>
      </c>
      <c r="BT34">
        <v>-2</v>
      </c>
    </row>
    <row r="35" spans="1:72" ht="12.75">
      <c r="A35">
        <f t="shared" si="13"/>
        <v>1949</v>
      </c>
      <c r="B35" s="10" t="s">
        <v>120</v>
      </c>
      <c r="C35" s="9" t="s">
        <v>149</v>
      </c>
      <c r="D35">
        <v>1054</v>
      </c>
      <c r="E35">
        <f t="shared" si="3"/>
        <v>-2</v>
      </c>
      <c r="F35">
        <v>-2</v>
      </c>
      <c r="G35">
        <v>-2</v>
      </c>
      <c r="H35">
        <v>-2</v>
      </c>
      <c r="I35">
        <v>-2</v>
      </c>
      <c r="J35">
        <f t="shared" si="18"/>
        <v>-2</v>
      </c>
      <c r="K35">
        <v>-2</v>
      </c>
      <c r="L35">
        <v>-2</v>
      </c>
      <c r="M35">
        <f t="shared" si="4"/>
        <v>-1</v>
      </c>
      <c r="N35">
        <f t="shared" si="5"/>
        <v>-1</v>
      </c>
      <c r="O35">
        <v>-1</v>
      </c>
      <c r="P35">
        <v>-1</v>
      </c>
      <c r="Q35">
        <v>-1</v>
      </c>
      <c r="R35">
        <v>-1</v>
      </c>
      <c r="S35">
        <f t="shared" si="6"/>
        <v>-1</v>
      </c>
      <c r="T35">
        <v>-1</v>
      </c>
      <c r="U35">
        <v>-1</v>
      </c>
      <c r="V35">
        <f t="shared" si="7"/>
        <v>-2</v>
      </c>
      <c r="W35">
        <f t="shared" si="8"/>
        <v>-2</v>
      </c>
      <c r="X35">
        <v>-2</v>
      </c>
      <c r="Y35">
        <v>-2</v>
      </c>
      <c r="Z35">
        <v>-2</v>
      </c>
      <c r="AA35">
        <v>-2</v>
      </c>
      <c r="AB35">
        <f t="shared" si="9"/>
        <v>-2</v>
      </c>
      <c r="AC35">
        <v>-2</v>
      </c>
      <c r="AD35">
        <v>-2</v>
      </c>
      <c r="AE35">
        <v>-2</v>
      </c>
      <c r="AF35">
        <v>-2</v>
      </c>
      <c r="AG35">
        <v>-2</v>
      </c>
      <c r="AH35">
        <v>-2</v>
      </c>
      <c r="AI35">
        <v>-2</v>
      </c>
      <c r="AJ35">
        <v>-2</v>
      </c>
      <c r="AK35">
        <v>-2</v>
      </c>
      <c r="AL35">
        <v>60387</v>
      </c>
      <c r="AM35">
        <f t="shared" si="19"/>
        <v>-2</v>
      </c>
      <c r="AN35">
        <v>-2</v>
      </c>
      <c r="AO35">
        <v>-2</v>
      </c>
      <c r="AP35">
        <v>-2</v>
      </c>
      <c r="AQ35">
        <v>-2</v>
      </c>
      <c r="AR35">
        <f t="shared" si="20"/>
        <v>-2</v>
      </c>
      <c r="AS35">
        <v>-2</v>
      </c>
      <c r="AT35">
        <v>-2</v>
      </c>
      <c r="AU35">
        <v>-2</v>
      </c>
      <c r="AV35">
        <v>-2</v>
      </c>
      <c r="AW35">
        <v>-2</v>
      </c>
      <c r="AX35">
        <v>-2</v>
      </c>
      <c r="AY35">
        <f t="shared" si="10"/>
        <v>-2</v>
      </c>
      <c r="AZ35">
        <f t="shared" si="11"/>
        <v>-2</v>
      </c>
      <c r="BA35">
        <v>-2</v>
      </c>
      <c r="BB35">
        <v>-2</v>
      </c>
      <c r="BC35">
        <v>-2</v>
      </c>
      <c r="BD35">
        <v>-2</v>
      </c>
      <c r="BE35">
        <f t="shared" si="12"/>
        <v>-2</v>
      </c>
      <c r="BF35">
        <v>-2</v>
      </c>
      <c r="BG35">
        <v>-2</v>
      </c>
      <c r="BH35">
        <v>-2</v>
      </c>
      <c r="BI35">
        <v>-2</v>
      </c>
      <c r="BJ35">
        <v>-2</v>
      </c>
      <c r="BK35">
        <v>-2</v>
      </c>
      <c r="BL35">
        <v>-2</v>
      </c>
      <c r="BM35">
        <v>-2</v>
      </c>
      <c r="BN35">
        <v>-2</v>
      </c>
      <c r="BO35">
        <v>-2</v>
      </c>
      <c r="BP35">
        <v>-2</v>
      </c>
      <c r="BQ35">
        <v>-2</v>
      </c>
      <c r="BR35">
        <v>-2</v>
      </c>
      <c r="BS35">
        <v>-2</v>
      </c>
      <c r="BT35">
        <v>-2</v>
      </c>
    </row>
    <row r="36" spans="1:72" ht="12.75">
      <c r="A36">
        <f t="shared" si="13"/>
        <v>1950</v>
      </c>
      <c r="B36" s="10" t="s">
        <v>120</v>
      </c>
      <c r="C36" s="9" t="s">
        <v>149</v>
      </c>
      <c r="D36">
        <v>1111</v>
      </c>
      <c r="E36">
        <f t="shared" si="3"/>
        <v>-2</v>
      </c>
      <c r="F36">
        <v>-2</v>
      </c>
      <c r="G36">
        <v>-2</v>
      </c>
      <c r="H36">
        <v>-2</v>
      </c>
      <c r="I36">
        <v>-2</v>
      </c>
      <c r="J36">
        <f t="shared" si="18"/>
        <v>-2</v>
      </c>
      <c r="K36">
        <v>-2</v>
      </c>
      <c r="L36">
        <v>-2</v>
      </c>
      <c r="M36">
        <f t="shared" si="4"/>
        <v>-1</v>
      </c>
      <c r="N36">
        <f t="shared" si="5"/>
        <v>-1</v>
      </c>
      <c r="O36">
        <v>-1</v>
      </c>
      <c r="P36">
        <v>-1</v>
      </c>
      <c r="Q36">
        <v>-1</v>
      </c>
      <c r="R36">
        <v>-1</v>
      </c>
      <c r="S36">
        <f t="shared" si="6"/>
        <v>-1</v>
      </c>
      <c r="T36">
        <v>-1</v>
      </c>
      <c r="U36">
        <v>-1</v>
      </c>
      <c r="V36">
        <f t="shared" si="7"/>
        <v>-2</v>
      </c>
      <c r="W36">
        <f t="shared" si="8"/>
        <v>-2</v>
      </c>
      <c r="X36">
        <v>-2</v>
      </c>
      <c r="Y36">
        <v>-2</v>
      </c>
      <c r="Z36">
        <v>-2</v>
      </c>
      <c r="AA36">
        <v>-2</v>
      </c>
      <c r="AB36">
        <f t="shared" si="9"/>
        <v>-2</v>
      </c>
      <c r="AC36">
        <v>-2</v>
      </c>
      <c r="AD36">
        <v>-2</v>
      </c>
      <c r="AE36">
        <v>-2</v>
      </c>
      <c r="AF36">
        <v>-2</v>
      </c>
      <c r="AG36">
        <v>-2</v>
      </c>
      <c r="AH36">
        <v>-2</v>
      </c>
      <c r="AI36">
        <v>-2</v>
      </c>
      <c r="AJ36">
        <v>-2</v>
      </c>
      <c r="AK36">
        <v>-2</v>
      </c>
      <c r="AL36">
        <v>63604</v>
      </c>
      <c r="AM36">
        <f t="shared" si="19"/>
        <v>-2</v>
      </c>
      <c r="AN36">
        <v>-2</v>
      </c>
      <c r="AO36">
        <v>-2</v>
      </c>
      <c r="AP36">
        <v>-2</v>
      </c>
      <c r="AQ36">
        <v>-2</v>
      </c>
      <c r="AR36">
        <f t="shared" si="20"/>
        <v>-2</v>
      </c>
      <c r="AS36">
        <v>-2</v>
      </c>
      <c r="AT36">
        <v>-2</v>
      </c>
      <c r="AU36">
        <v>-2</v>
      </c>
      <c r="AV36">
        <v>-2</v>
      </c>
      <c r="AW36">
        <v>-2</v>
      </c>
      <c r="AX36">
        <v>-2</v>
      </c>
      <c r="AY36">
        <f t="shared" si="10"/>
        <v>-2</v>
      </c>
      <c r="AZ36">
        <f t="shared" si="11"/>
        <v>-2</v>
      </c>
      <c r="BA36">
        <v>-2</v>
      </c>
      <c r="BB36">
        <v>-2</v>
      </c>
      <c r="BC36">
        <v>-2</v>
      </c>
      <c r="BD36">
        <v>-2</v>
      </c>
      <c r="BE36">
        <f t="shared" si="12"/>
        <v>-2</v>
      </c>
      <c r="BF36">
        <v>-2</v>
      </c>
      <c r="BG36">
        <v>-2</v>
      </c>
      <c r="BH36">
        <v>-2</v>
      </c>
      <c r="BI36">
        <v>-2</v>
      </c>
      <c r="BJ36">
        <v>-2</v>
      </c>
      <c r="BK36">
        <v>-2</v>
      </c>
      <c r="BL36">
        <v>-2</v>
      </c>
      <c r="BM36">
        <v>-2</v>
      </c>
      <c r="BN36">
        <v>-2</v>
      </c>
      <c r="BO36">
        <v>-2</v>
      </c>
      <c r="BP36">
        <v>-2</v>
      </c>
      <c r="BQ36">
        <v>-2</v>
      </c>
      <c r="BR36">
        <v>-2</v>
      </c>
      <c r="BS36">
        <v>-2</v>
      </c>
      <c r="BT36">
        <v>-2</v>
      </c>
    </row>
    <row r="37" spans="1:72" ht="12.75">
      <c r="A37">
        <f t="shared" si="13"/>
        <v>1951</v>
      </c>
      <c r="B37" s="10" t="s">
        <v>120</v>
      </c>
      <c r="C37" s="9" t="s">
        <v>149</v>
      </c>
      <c r="D37">
        <v>1117</v>
      </c>
      <c r="E37">
        <f t="shared" si="3"/>
        <v>-2</v>
      </c>
      <c r="F37">
        <v>-2</v>
      </c>
      <c r="G37">
        <v>-2</v>
      </c>
      <c r="H37">
        <v>-2</v>
      </c>
      <c r="I37">
        <v>-2</v>
      </c>
      <c r="J37">
        <f t="shared" si="18"/>
        <v>-2</v>
      </c>
      <c r="K37">
        <v>-2</v>
      </c>
      <c r="L37">
        <v>-2</v>
      </c>
      <c r="M37">
        <f t="shared" si="4"/>
        <v>-1</v>
      </c>
      <c r="N37">
        <f t="shared" si="5"/>
        <v>-1</v>
      </c>
      <c r="O37">
        <v>-1</v>
      </c>
      <c r="P37">
        <v>-1</v>
      </c>
      <c r="Q37">
        <v>-1</v>
      </c>
      <c r="R37">
        <v>-1</v>
      </c>
      <c r="S37">
        <f t="shared" si="6"/>
        <v>-1</v>
      </c>
      <c r="T37">
        <v>-1</v>
      </c>
      <c r="U37">
        <v>-1</v>
      </c>
      <c r="V37">
        <f t="shared" si="7"/>
        <v>-2</v>
      </c>
      <c r="W37">
        <f t="shared" si="8"/>
        <v>-2</v>
      </c>
      <c r="X37">
        <v>-2</v>
      </c>
      <c r="Y37">
        <v>-2</v>
      </c>
      <c r="Z37">
        <v>-2</v>
      </c>
      <c r="AA37">
        <v>-2</v>
      </c>
      <c r="AB37">
        <f t="shared" si="9"/>
        <v>-2</v>
      </c>
      <c r="AC37">
        <v>-2</v>
      </c>
      <c r="AD37">
        <v>-2</v>
      </c>
      <c r="AE37">
        <v>-2</v>
      </c>
      <c r="AF37">
        <v>-2</v>
      </c>
      <c r="AG37">
        <v>-2</v>
      </c>
      <c r="AH37">
        <v>-2</v>
      </c>
      <c r="AI37">
        <v>-2</v>
      </c>
      <c r="AJ37">
        <v>-2</v>
      </c>
      <c r="AK37">
        <v>-2</v>
      </c>
      <c r="AL37">
        <v>62734</v>
      </c>
      <c r="AM37">
        <f t="shared" si="19"/>
        <v>-2</v>
      </c>
      <c r="AN37">
        <v>-2</v>
      </c>
      <c r="AO37">
        <v>-2</v>
      </c>
      <c r="AP37">
        <v>-2</v>
      </c>
      <c r="AQ37">
        <v>-2</v>
      </c>
      <c r="AR37">
        <f t="shared" si="20"/>
        <v>-2</v>
      </c>
      <c r="AS37">
        <v>-2</v>
      </c>
      <c r="AT37">
        <v>-2</v>
      </c>
      <c r="AU37">
        <v>-2</v>
      </c>
      <c r="AV37">
        <v>-2</v>
      </c>
      <c r="AW37">
        <v>-2</v>
      </c>
      <c r="AX37">
        <v>-2</v>
      </c>
      <c r="AY37">
        <f t="shared" si="10"/>
        <v>-2</v>
      </c>
      <c r="AZ37">
        <f t="shared" si="11"/>
        <v>-2</v>
      </c>
      <c r="BA37">
        <v>-2</v>
      </c>
      <c r="BB37">
        <v>-2</v>
      </c>
      <c r="BC37">
        <v>-2</v>
      </c>
      <c r="BD37">
        <v>-2</v>
      </c>
      <c r="BE37">
        <f t="shared" si="12"/>
        <v>-2</v>
      </c>
      <c r="BF37">
        <v>-2</v>
      </c>
      <c r="BG37">
        <v>-2</v>
      </c>
      <c r="BH37">
        <v>-2</v>
      </c>
      <c r="BI37">
        <v>-2</v>
      </c>
      <c r="BJ37">
        <v>-2</v>
      </c>
      <c r="BK37">
        <v>-2</v>
      </c>
      <c r="BL37">
        <v>-2</v>
      </c>
      <c r="BM37">
        <v>-2</v>
      </c>
      <c r="BN37">
        <v>-2</v>
      </c>
      <c r="BO37">
        <v>-2</v>
      </c>
      <c r="BP37">
        <v>-2</v>
      </c>
      <c r="BQ37">
        <v>-2</v>
      </c>
      <c r="BR37">
        <v>-2</v>
      </c>
      <c r="BS37">
        <v>-2</v>
      </c>
      <c r="BT37">
        <v>-2</v>
      </c>
    </row>
    <row r="38" spans="1:72" ht="12.75">
      <c r="A38">
        <f t="shared" si="13"/>
        <v>1952</v>
      </c>
      <c r="B38" s="10" t="s">
        <v>120</v>
      </c>
      <c r="C38" s="9" t="s">
        <v>149</v>
      </c>
      <c r="D38">
        <v>1167</v>
      </c>
      <c r="E38">
        <f t="shared" si="3"/>
        <v>-2</v>
      </c>
      <c r="F38">
        <v>-2</v>
      </c>
      <c r="G38">
        <v>-2</v>
      </c>
      <c r="H38">
        <v>-2</v>
      </c>
      <c r="I38">
        <v>-2</v>
      </c>
      <c r="J38">
        <f t="shared" si="18"/>
        <v>-2</v>
      </c>
      <c r="K38">
        <v>-2</v>
      </c>
      <c r="L38">
        <v>-2</v>
      </c>
      <c r="M38">
        <f t="shared" si="4"/>
        <v>-1</v>
      </c>
      <c r="N38">
        <f t="shared" si="5"/>
        <v>-1</v>
      </c>
      <c r="O38">
        <v>-1</v>
      </c>
      <c r="P38">
        <v>-1</v>
      </c>
      <c r="Q38">
        <v>-1</v>
      </c>
      <c r="R38">
        <v>-1</v>
      </c>
      <c r="S38">
        <f t="shared" si="6"/>
        <v>-1</v>
      </c>
      <c r="T38">
        <v>-1</v>
      </c>
      <c r="U38">
        <v>-1</v>
      </c>
      <c r="V38">
        <f t="shared" si="7"/>
        <v>-2</v>
      </c>
      <c r="W38">
        <f t="shared" si="8"/>
        <v>-2</v>
      </c>
      <c r="X38">
        <v>-2</v>
      </c>
      <c r="Y38">
        <v>-2</v>
      </c>
      <c r="Z38">
        <v>-2</v>
      </c>
      <c r="AA38">
        <v>-2</v>
      </c>
      <c r="AB38">
        <f t="shared" si="9"/>
        <v>-2</v>
      </c>
      <c r="AC38">
        <v>-2</v>
      </c>
      <c r="AD38">
        <v>-2</v>
      </c>
      <c r="AE38">
        <v>-2</v>
      </c>
      <c r="AF38">
        <v>-2</v>
      </c>
      <c r="AG38">
        <v>-2</v>
      </c>
      <c r="AH38">
        <v>-2</v>
      </c>
      <c r="AI38">
        <v>-2</v>
      </c>
      <c r="AJ38">
        <v>-2</v>
      </c>
      <c r="AK38">
        <v>-2</v>
      </c>
      <c r="AL38">
        <v>66354</v>
      </c>
      <c r="AM38">
        <f t="shared" si="19"/>
        <v>-2</v>
      </c>
      <c r="AN38">
        <v>-2</v>
      </c>
      <c r="AO38">
        <v>-2</v>
      </c>
      <c r="AP38">
        <v>-2</v>
      </c>
      <c r="AQ38">
        <v>-2</v>
      </c>
      <c r="AR38">
        <f t="shared" si="20"/>
        <v>-2</v>
      </c>
      <c r="AS38">
        <v>-2</v>
      </c>
      <c r="AT38">
        <v>-2</v>
      </c>
      <c r="AU38">
        <v>-2</v>
      </c>
      <c r="AV38">
        <v>-2</v>
      </c>
      <c r="AW38">
        <v>-2</v>
      </c>
      <c r="AX38">
        <v>-2</v>
      </c>
      <c r="AY38">
        <f t="shared" si="10"/>
        <v>-2</v>
      </c>
      <c r="AZ38">
        <f t="shared" si="11"/>
        <v>-2</v>
      </c>
      <c r="BA38">
        <v>-2</v>
      </c>
      <c r="BB38">
        <v>-2</v>
      </c>
      <c r="BC38">
        <v>-2</v>
      </c>
      <c r="BD38">
        <v>-2</v>
      </c>
      <c r="BE38">
        <f t="shared" si="12"/>
        <v>-2</v>
      </c>
      <c r="BF38">
        <v>-2</v>
      </c>
      <c r="BG38">
        <v>-2</v>
      </c>
      <c r="BH38">
        <v>-2</v>
      </c>
      <c r="BI38">
        <v>-2</v>
      </c>
      <c r="BJ38">
        <v>-2</v>
      </c>
      <c r="BK38">
        <v>-2</v>
      </c>
      <c r="BL38">
        <v>-2</v>
      </c>
      <c r="BM38">
        <v>-2</v>
      </c>
      <c r="BN38">
        <v>-2</v>
      </c>
      <c r="BO38">
        <v>-2</v>
      </c>
      <c r="BP38">
        <v>-2</v>
      </c>
      <c r="BQ38">
        <v>-2</v>
      </c>
      <c r="BR38">
        <v>-2</v>
      </c>
      <c r="BS38">
        <v>-2</v>
      </c>
      <c r="BT38">
        <v>-2</v>
      </c>
    </row>
    <row r="39" spans="1:72" ht="12.75">
      <c r="A39">
        <f t="shared" si="13"/>
        <v>1953</v>
      </c>
      <c r="B39" s="10" t="s">
        <v>120</v>
      </c>
      <c r="C39" s="9" t="s">
        <v>149</v>
      </c>
      <c r="D39">
        <v>1202</v>
      </c>
      <c r="E39">
        <f t="shared" si="3"/>
        <v>-2</v>
      </c>
      <c r="F39">
        <v>-2</v>
      </c>
      <c r="G39">
        <v>-2</v>
      </c>
      <c r="H39">
        <v>-2</v>
      </c>
      <c r="I39">
        <v>-2</v>
      </c>
      <c r="J39">
        <f t="shared" si="18"/>
        <v>-2</v>
      </c>
      <c r="K39">
        <v>-2</v>
      </c>
      <c r="L39">
        <v>-2</v>
      </c>
      <c r="M39">
        <f t="shared" si="4"/>
        <v>-1</v>
      </c>
      <c r="N39">
        <f t="shared" si="5"/>
        <v>-1</v>
      </c>
      <c r="O39">
        <v>-1</v>
      </c>
      <c r="P39">
        <v>-1</v>
      </c>
      <c r="Q39">
        <v>-1</v>
      </c>
      <c r="R39">
        <v>-1</v>
      </c>
      <c r="S39">
        <f t="shared" si="6"/>
        <v>-1</v>
      </c>
      <c r="T39">
        <v>-1</v>
      </c>
      <c r="U39">
        <v>-1</v>
      </c>
      <c r="V39">
        <f t="shared" si="7"/>
        <v>-2</v>
      </c>
      <c r="W39">
        <f t="shared" si="8"/>
        <v>-2</v>
      </c>
      <c r="X39">
        <v>-2</v>
      </c>
      <c r="Y39">
        <v>-2</v>
      </c>
      <c r="Z39">
        <v>-2</v>
      </c>
      <c r="AA39">
        <v>-2</v>
      </c>
      <c r="AB39">
        <f t="shared" si="9"/>
        <v>-2</v>
      </c>
      <c r="AC39">
        <v>-2</v>
      </c>
      <c r="AD39">
        <v>-2</v>
      </c>
      <c r="AE39">
        <v>-2</v>
      </c>
      <c r="AF39">
        <v>-2</v>
      </c>
      <c r="AG39">
        <v>-2</v>
      </c>
      <c r="AH39">
        <v>-2</v>
      </c>
      <c r="AI39">
        <v>-2</v>
      </c>
      <c r="AJ39">
        <v>-2</v>
      </c>
      <c r="AK39">
        <v>-2</v>
      </c>
      <c r="AL39">
        <v>65950</v>
      </c>
      <c r="AM39">
        <f t="shared" si="19"/>
        <v>-2</v>
      </c>
      <c r="AN39">
        <v>-2</v>
      </c>
      <c r="AO39">
        <v>-2</v>
      </c>
      <c r="AP39">
        <v>-2</v>
      </c>
      <c r="AQ39">
        <v>-2</v>
      </c>
      <c r="AR39">
        <f t="shared" si="20"/>
        <v>-2</v>
      </c>
      <c r="AS39">
        <v>-2</v>
      </c>
      <c r="AT39">
        <v>-2</v>
      </c>
      <c r="AU39">
        <v>-2</v>
      </c>
      <c r="AV39">
        <v>-2</v>
      </c>
      <c r="AW39">
        <v>-2</v>
      </c>
      <c r="AX39">
        <v>-2</v>
      </c>
      <c r="AY39">
        <f t="shared" si="10"/>
        <v>-2</v>
      </c>
      <c r="AZ39">
        <f t="shared" si="11"/>
        <v>-2</v>
      </c>
      <c r="BA39">
        <v>-2</v>
      </c>
      <c r="BB39">
        <v>-2</v>
      </c>
      <c r="BC39">
        <v>-2</v>
      </c>
      <c r="BD39">
        <v>-2</v>
      </c>
      <c r="BE39">
        <f t="shared" si="12"/>
        <v>-2</v>
      </c>
      <c r="BF39">
        <v>-2</v>
      </c>
      <c r="BG39">
        <v>-2</v>
      </c>
      <c r="BH39">
        <v>-2</v>
      </c>
      <c r="BI39">
        <v>-2</v>
      </c>
      <c r="BJ39">
        <v>-2</v>
      </c>
      <c r="BK39">
        <v>-2</v>
      </c>
      <c r="BL39">
        <v>-2</v>
      </c>
      <c r="BM39">
        <v>-2</v>
      </c>
      <c r="BN39">
        <v>-2</v>
      </c>
      <c r="BO39">
        <v>-2</v>
      </c>
      <c r="BP39">
        <v>-2</v>
      </c>
      <c r="BQ39">
        <v>-2</v>
      </c>
      <c r="BR39">
        <v>-2</v>
      </c>
      <c r="BS39">
        <v>-2</v>
      </c>
      <c r="BT39">
        <v>-2</v>
      </c>
    </row>
    <row r="40" spans="1:72" ht="12.75">
      <c r="A40">
        <f t="shared" si="13"/>
        <v>1954</v>
      </c>
      <c r="B40" s="10" t="s">
        <v>120</v>
      </c>
      <c r="C40" s="9" t="s">
        <v>149</v>
      </c>
      <c r="D40">
        <v>1247</v>
      </c>
      <c r="E40">
        <f t="shared" si="3"/>
        <v>-2</v>
      </c>
      <c r="F40">
        <v>-2</v>
      </c>
      <c r="G40">
        <v>-2</v>
      </c>
      <c r="H40">
        <v>-2</v>
      </c>
      <c r="I40">
        <v>-2</v>
      </c>
      <c r="J40">
        <f t="shared" si="18"/>
        <v>-2</v>
      </c>
      <c r="K40">
        <v>-2</v>
      </c>
      <c r="L40">
        <v>-2</v>
      </c>
      <c r="M40">
        <f t="shared" si="4"/>
        <v>-1</v>
      </c>
      <c r="N40">
        <f t="shared" si="5"/>
        <v>-1</v>
      </c>
      <c r="O40">
        <v>-1</v>
      </c>
      <c r="P40">
        <v>-1</v>
      </c>
      <c r="Q40">
        <v>-1</v>
      </c>
      <c r="R40">
        <v>-1</v>
      </c>
      <c r="S40">
        <f t="shared" si="6"/>
        <v>-1</v>
      </c>
      <c r="T40">
        <v>-1</v>
      </c>
      <c r="U40">
        <v>-1</v>
      </c>
      <c r="V40">
        <f t="shared" si="7"/>
        <v>-2</v>
      </c>
      <c r="W40">
        <f t="shared" si="8"/>
        <v>-2</v>
      </c>
      <c r="X40">
        <v>-2</v>
      </c>
      <c r="Y40">
        <v>-2</v>
      </c>
      <c r="Z40">
        <v>-2</v>
      </c>
      <c r="AA40">
        <v>-2</v>
      </c>
      <c r="AB40">
        <f t="shared" si="9"/>
        <v>-2</v>
      </c>
      <c r="AC40">
        <v>-2</v>
      </c>
      <c r="AD40">
        <v>-2</v>
      </c>
      <c r="AE40">
        <v>-2</v>
      </c>
      <c r="AF40">
        <v>-2</v>
      </c>
      <c r="AG40">
        <v>-2</v>
      </c>
      <c r="AH40">
        <v>-2</v>
      </c>
      <c r="AI40">
        <v>-2</v>
      </c>
      <c r="AJ40">
        <v>-2</v>
      </c>
      <c r="AK40">
        <v>-2</v>
      </c>
      <c r="AL40">
        <v>65781</v>
      </c>
      <c r="AM40">
        <f t="shared" si="19"/>
        <v>-2</v>
      </c>
      <c r="AN40">
        <v>-2</v>
      </c>
      <c r="AO40">
        <v>-2</v>
      </c>
      <c r="AP40">
        <v>-2</v>
      </c>
      <c r="AQ40">
        <v>-2</v>
      </c>
      <c r="AR40">
        <f t="shared" si="20"/>
        <v>-2</v>
      </c>
      <c r="AS40">
        <v>-2</v>
      </c>
      <c r="AT40">
        <v>-2</v>
      </c>
      <c r="AU40">
        <v>-2</v>
      </c>
      <c r="AV40">
        <v>-2</v>
      </c>
      <c r="AW40">
        <v>-2</v>
      </c>
      <c r="AX40">
        <v>-2</v>
      </c>
      <c r="AY40">
        <f t="shared" si="10"/>
        <v>-2</v>
      </c>
      <c r="AZ40">
        <f t="shared" si="11"/>
        <v>-2</v>
      </c>
      <c r="BA40">
        <v>-2</v>
      </c>
      <c r="BB40">
        <v>-2</v>
      </c>
      <c r="BC40">
        <v>-2</v>
      </c>
      <c r="BD40">
        <v>-2</v>
      </c>
      <c r="BE40">
        <f t="shared" si="12"/>
        <v>-2</v>
      </c>
      <c r="BF40">
        <v>-2</v>
      </c>
      <c r="BG40">
        <v>-2</v>
      </c>
      <c r="BH40">
        <v>-2</v>
      </c>
      <c r="BI40">
        <v>-2</v>
      </c>
      <c r="BJ40">
        <v>-2</v>
      </c>
      <c r="BK40">
        <v>-2</v>
      </c>
      <c r="BL40">
        <v>-2</v>
      </c>
      <c r="BM40">
        <v>-2</v>
      </c>
      <c r="BN40">
        <v>-2</v>
      </c>
      <c r="BO40">
        <v>-2</v>
      </c>
      <c r="BP40">
        <v>-2</v>
      </c>
      <c r="BQ40">
        <v>-2</v>
      </c>
      <c r="BR40">
        <v>-2</v>
      </c>
      <c r="BS40">
        <v>-2</v>
      </c>
      <c r="BT40">
        <v>-2</v>
      </c>
    </row>
    <row r="41" spans="1:72" ht="12.75">
      <c r="A41">
        <f t="shared" si="13"/>
        <v>1955</v>
      </c>
      <c r="B41" s="10" t="s">
        <v>120</v>
      </c>
      <c r="C41" s="9" t="s">
        <v>149</v>
      </c>
      <c r="D41">
        <v>1289</v>
      </c>
      <c r="E41">
        <f t="shared" si="3"/>
        <v>-2</v>
      </c>
      <c r="F41">
        <v>-2</v>
      </c>
      <c r="G41">
        <v>-2</v>
      </c>
      <c r="H41">
        <v>-2</v>
      </c>
      <c r="I41">
        <v>-2</v>
      </c>
      <c r="J41">
        <f t="shared" si="18"/>
        <v>-2</v>
      </c>
      <c r="K41">
        <v>-2</v>
      </c>
      <c r="L41">
        <v>-2</v>
      </c>
      <c r="M41">
        <f t="shared" si="4"/>
        <v>-1</v>
      </c>
      <c r="N41">
        <f t="shared" si="5"/>
        <v>-1</v>
      </c>
      <c r="O41">
        <v>-1</v>
      </c>
      <c r="P41">
        <v>-1</v>
      </c>
      <c r="Q41">
        <v>-1</v>
      </c>
      <c r="R41">
        <v>-1</v>
      </c>
      <c r="S41">
        <f t="shared" si="6"/>
        <v>-1</v>
      </c>
      <c r="T41">
        <v>-1</v>
      </c>
      <c r="U41">
        <v>-1</v>
      </c>
      <c r="V41">
        <f t="shared" si="7"/>
        <v>-2</v>
      </c>
      <c r="W41">
        <f t="shared" si="8"/>
        <v>-2</v>
      </c>
      <c r="X41">
        <v>-2</v>
      </c>
      <c r="Y41">
        <v>-2</v>
      </c>
      <c r="Z41">
        <v>-2</v>
      </c>
      <c r="AA41">
        <v>-2</v>
      </c>
      <c r="AB41">
        <f t="shared" si="9"/>
        <v>-2</v>
      </c>
      <c r="AC41">
        <v>-2</v>
      </c>
      <c r="AD41">
        <v>-2</v>
      </c>
      <c r="AE41">
        <v>-2</v>
      </c>
      <c r="AF41">
        <v>-2</v>
      </c>
      <c r="AG41">
        <v>-2</v>
      </c>
      <c r="AH41">
        <v>-2</v>
      </c>
      <c r="AI41">
        <v>-2</v>
      </c>
      <c r="AJ41">
        <v>-2</v>
      </c>
      <c r="AK41">
        <v>-2</v>
      </c>
      <c r="AL41">
        <v>66989</v>
      </c>
      <c r="AM41">
        <f t="shared" si="19"/>
        <v>-2</v>
      </c>
      <c r="AN41">
        <v>-2</v>
      </c>
      <c r="AO41">
        <v>-2</v>
      </c>
      <c r="AP41">
        <v>-2</v>
      </c>
      <c r="AQ41">
        <v>-2</v>
      </c>
      <c r="AR41">
        <f t="shared" si="20"/>
        <v>-2</v>
      </c>
      <c r="AS41">
        <v>-2</v>
      </c>
      <c r="AT41">
        <v>-2</v>
      </c>
      <c r="AU41">
        <v>-2</v>
      </c>
      <c r="AV41">
        <v>-2</v>
      </c>
      <c r="AW41">
        <v>-2</v>
      </c>
      <c r="AX41">
        <v>-2</v>
      </c>
      <c r="AY41">
        <f t="shared" si="10"/>
        <v>-2</v>
      </c>
      <c r="AZ41">
        <f t="shared" si="11"/>
        <v>-2</v>
      </c>
      <c r="BA41">
        <v>-2</v>
      </c>
      <c r="BB41">
        <v>-2</v>
      </c>
      <c r="BC41">
        <v>-2</v>
      </c>
      <c r="BD41">
        <v>-2</v>
      </c>
      <c r="BE41">
        <f t="shared" si="12"/>
        <v>-2</v>
      </c>
      <c r="BF41">
        <v>-2</v>
      </c>
      <c r="BG41">
        <v>-2</v>
      </c>
      <c r="BH41">
        <v>-2</v>
      </c>
      <c r="BI41">
        <v>-2</v>
      </c>
      <c r="BJ41">
        <v>-2</v>
      </c>
      <c r="BK41">
        <v>-2</v>
      </c>
      <c r="BL41">
        <v>-2</v>
      </c>
      <c r="BM41">
        <v>-2</v>
      </c>
      <c r="BN41">
        <v>-2</v>
      </c>
      <c r="BO41">
        <v>-2</v>
      </c>
      <c r="BP41">
        <v>-2</v>
      </c>
      <c r="BQ41">
        <v>-2</v>
      </c>
      <c r="BR41">
        <v>-2</v>
      </c>
      <c r="BS41">
        <v>-2</v>
      </c>
      <c r="BT41">
        <v>-2</v>
      </c>
    </row>
    <row r="42" spans="1:72" ht="12.75">
      <c r="A42">
        <f t="shared" si="13"/>
        <v>1956</v>
      </c>
      <c r="B42" s="10" t="s">
        <v>120</v>
      </c>
      <c r="C42" s="9" t="s">
        <v>149</v>
      </c>
      <c r="D42">
        <v>1335</v>
      </c>
      <c r="E42">
        <f t="shared" si="3"/>
        <v>-2</v>
      </c>
      <c r="F42">
        <v>-2</v>
      </c>
      <c r="G42">
        <v>-2</v>
      </c>
      <c r="H42">
        <v>-2</v>
      </c>
      <c r="I42">
        <v>-2</v>
      </c>
      <c r="J42">
        <f t="shared" si="18"/>
        <v>-2</v>
      </c>
      <c r="K42">
        <v>-2</v>
      </c>
      <c r="L42">
        <v>-2</v>
      </c>
      <c r="M42">
        <f t="shared" si="4"/>
        <v>-1</v>
      </c>
      <c r="N42">
        <f t="shared" si="5"/>
        <v>-1</v>
      </c>
      <c r="O42">
        <v>-1</v>
      </c>
      <c r="P42">
        <v>-1</v>
      </c>
      <c r="Q42">
        <v>-1</v>
      </c>
      <c r="R42">
        <v>-1</v>
      </c>
      <c r="S42">
        <f t="shared" si="6"/>
        <v>-1</v>
      </c>
      <c r="T42">
        <v>-1</v>
      </c>
      <c r="U42">
        <v>-1</v>
      </c>
      <c r="V42">
        <f t="shared" si="7"/>
        <v>-2</v>
      </c>
      <c r="W42">
        <f t="shared" si="8"/>
        <v>-2</v>
      </c>
      <c r="X42">
        <v>-2</v>
      </c>
      <c r="Y42">
        <v>-2</v>
      </c>
      <c r="Z42">
        <v>-2</v>
      </c>
      <c r="AA42">
        <v>-2</v>
      </c>
      <c r="AB42">
        <f t="shared" si="9"/>
        <v>-2</v>
      </c>
      <c r="AC42">
        <v>-2</v>
      </c>
      <c r="AD42">
        <v>-2</v>
      </c>
      <c r="AE42">
        <v>-2</v>
      </c>
      <c r="AF42">
        <v>-2</v>
      </c>
      <c r="AG42">
        <v>-2</v>
      </c>
      <c r="AH42">
        <v>-2</v>
      </c>
      <c r="AI42">
        <v>-2</v>
      </c>
      <c r="AJ42">
        <v>-2</v>
      </c>
      <c r="AK42">
        <v>-2</v>
      </c>
      <c r="AL42">
        <v>66989</v>
      </c>
      <c r="AM42">
        <f t="shared" si="19"/>
        <v>-2</v>
      </c>
      <c r="AN42">
        <v>-2</v>
      </c>
      <c r="AO42">
        <v>-2</v>
      </c>
      <c r="AP42">
        <v>-2</v>
      </c>
      <c r="AQ42">
        <v>-2</v>
      </c>
      <c r="AR42">
        <f t="shared" si="20"/>
        <v>-2</v>
      </c>
      <c r="AS42">
        <v>-2</v>
      </c>
      <c r="AT42">
        <v>-2</v>
      </c>
      <c r="AU42">
        <v>-2</v>
      </c>
      <c r="AV42">
        <v>-2</v>
      </c>
      <c r="AW42">
        <v>-2</v>
      </c>
      <c r="AX42">
        <v>-2</v>
      </c>
      <c r="AY42">
        <f t="shared" si="10"/>
        <v>-2</v>
      </c>
      <c r="AZ42">
        <f t="shared" si="11"/>
        <v>-2</v>
      </c>
      <c r="BA42">
        <v>-2</v>
      </c>
      <c r="BB42">
        <v>-2</v>
      </c>
      <c r="BC42">
        <v>-2</v>
      </c>
      <c r="BD42">
        <v>-2</v>
      </c>
      <c r="BE42">
        <f t="shared" si="12"/>
        <v>-2</v>
      </c>
      <c r="BF42">
        <v>-2</v>
      </c>
      <c r="BG42">
        <v>-2</v>
      </c>
      <c r="BH42">
        <v>-2</v>
      </c>
      <c r="BI42">
        <v>-2</v>
      </c>
      <c r="BJ42">
        <v>-2</v>
      </c>
      <c r="BK42">
        <v>-2</v>
      </c>
      <c r="BL42">
        <v>-2</v>
      </c>
      <c r="BM42">
        <v>-2</v>
      </c>
      <c r="BN42">
        <v>-2</v>
      </c>
      <c r="BO42">
        <v>-2</v>
      </c>
      <c r="BP42">
        <v>-2</v>
      </c>
      <c r="BQ42">
        <v>-2</v>
      </c>
      <c r="BR42">
        <v>-2</v>
      </c>
      <c r="BS42">
        <v>-2</v>
      </c>
      <c r="BT42">
        <v>-2</v>
      </c>
    </row>
    <row r="43" spans="1:72" ht="12.75">
      <c r="A43">
        <f t="shared" si="13"/>
        <v>1957</v>
      </c>
      <c r="B43" s="10" t="s">
        <v>120</v>
      </c>
      <c r="C43" s="9" t="s">
        <v>149</v>
      </c>
      <c r="D43">
        <v>1372</v>
      </c>
      <c r="E43">
        <f t="shared" si="3"/>
        <v>-2</v>
      </c>
      <c r="F43">
        <v>-2</v>
      </c>
      <c r="G43">
        <v>-2</v>
      </c>
      <c r="H43">
        <v>-2</v>
      </c>
      <c r="I43">
        <v>-2</v>
      </c>
      <c r="J43">
        <f t="shared" si="18"/>
        <v>-2</v>
      </c>
      <c r="K43">
        <v>-2</v>
      </c>
      <c r="L43">
        <v>-2</v>
      </c>
      <c r="M43">
        <f t="shared" si="4"/>
        <v>-1</v>
      </c>
      <c r="N43">
        <f t="shared" si="5"/>
        <v>-1</v>
      </c>
      <c r="O43">
        <v>-1</v>
      </c>
      <c r="P43">
        <v>-1</v>
      </c>
      <c r="Q43">
        <v>-1</v>
      </c>
      <c r="R43">
        <v>-1</v>
      </c>
      <c r="S43">
        <f t="shared" si="6"/>
        <v>-1</v>
      </c>
      <c r="T43">
        <v>-1</v>
      </c>
      <c r="U43">
        <v>-1</v>
      </c>
      <c r="V43">
        <f t="shared" si="7"/>
        <v>-2</v>
      </c>
      <c r="W43">
        <f t="shared" si="8"/>
        <v>-2</v>
      </c>
      <c r="X43">
        <v>-2</v>
      </c>
      <c r="Y43">
        <v>-2</v>
      </c>
      <c r="Z43">
        <v>-2</v>
      </c>
      <c r="AA43">
        <v>-2</v>
      </c>
      <c r="AB43">
        <f t="shared" si="9"/>
        <v>-2</v>
      </c>
      <c r="AC43">
        <v>-2</v>
      </c>
      <c r="AD43">
        <v>-2</v>
      </c>
      <c r="AE43">
        <v>-2</v>
      </c>
      <c r="AF43">
        <v>-2</v>
      </c>
      <c r="AG43">
        <v>-2</v>
      </c>
      <c r="AH43">
        <v>-2</v>
      </c>
      <c r="AI43">
        <v>-2</v>
      </c>
      <c r="AJ43">
        <v>-2</v>
      </c>
      <c r="AK43">
        <v>-2</v>
      </c>
      <c r="AL43">
        <v>68505</v>
      </c>
      <c r="AM43">
        <f t="shared" si="19"/>
        <v>-2</v>
      </c>
      <c r="AN43">
        <v>-2</v>
      </c>
      <c r="AO43">
        <v>-2</v>
      </c>
      <c r="AP43">
        <v>-2</v>
      </c>
      <c r="AQ43">
        <v>-2</v>
      </c>
      <c r="AR43">
        <f t="shared" si="20"/>
        <v>-2</v>
      </c>
      <c r="AS43">
        <v>-2</v>
      </c>
      <c r="AT43">
        <v>-2</v>
      </c>
      <c r="AU43">
        <v>-2</v>
      </c>
      <c r="AV43">
        <v>-2</v>
      </c>
      <c r="AW43">
        <v>-2</v>
      </c>
      <c r="AX43">
        <v>-2</v>
      </c>
      <c r="AY43">
        <f t="shared" si="10"/>
        <v>-2</v>
      </c>
      <c r="AZ43">
        <f t="shared" si="11"/>
        <v>-2</v>
      </c>
      <c r="BA43">
        <v>-2</v>
      </c>
      <c r="BB43">
        <v>-2</v>
      </c>
      <c r="BC43">
        <v>-2</v>
      </c>
      <c r="BD43">
        <v>-2</v>
      </c>
      <c r="BE43">
        <f t="shared" si="12"/>
        <v>-2</v>
      </c>
      <c r="BF43">
        <v>-2</v>
      </c>
      <c r="BG43">
        <v>-2</v>
      </c>
      <c r="BH43">
        <v>-2</v>
      </c>
      <c r="BI43">
        <v>-2</v>
      </c>
      <c r="BJ43">
        <v>-2</v>
      </c>
      <c r="BK43">
        <v>-2</v>
      </c>
      <c r="BL43">
        <v>-2</v>
      </c>
      <c r="BM43">
        <v>-2</v>
      </c>
      <c r="BN43">
        <v>-2</v>
      </c>
      <c r="BO43">
        <v>-2</v>
      </c>
      <c r="BP43">
        <v>-2</v>
      </c>
      <c r="BQ43">
        <v>-2</v>
      </c>
      <c r="BR43">
        <v>-2</v>
      </c>
      <c r="BS43">
        <v>-2</v>
      </c>
      <c r="BT43">
        <v>-2</v>
      </c>
    </row>
    <row r="44" spans="1:72" ht="12.75">
      <c r="A44">
        <f t="shared" si="13"/>
        <v>1958</v>
      </c>
      <c r="B44" s="10" t="s">
        <v>120</v>
      </c>
      <c r="C44" s="9" t="s">
        <v>149</v>
      </c>
      <c r="D44">
        <v>1419</v>
      </c>
      <c r="E44">
        <f t="shared" si="3"/>
        <v>-2</v>
      </c>
      <c r="F44">
        <v>-2</v>
      </c>
      <c r="G44">
        <v>-2</v>
      </c>
      <c r="H44">
        <v>-2</v>
      </c>
      <c r="I44">
        <v>-2</v>
      </c>
      <c r="J44">
        <f t="shared" si="18"/>
        <v>-2</v>
      </c>
      <c r="K44">
        <v>-2</v>
      </c>
      <c r="L44">
        <v>-2</v>
      </c>
      <c r="M44">
        <f t="shared" si="4"/>
        <v>-1</v>
      </c>
      <c r="N44">
        <f t="shared" si="5"/>
        <v>-1</v>
      </c>
      <c r="O44">
        <v>-1</v>
      </c>
      <c r="P44">
        <v>-1</v>
      </c>
      <c r="Q44">
        <v>-1</v>
      </c>
      <c r="R44">
        <v>-1</v>
      </c>
      <c r="S44">
        <f t="shared" si="6"/>
        <v>-1</v>
      </c>
      <c r="T44">
        <v>-1</v>
      </c>
      <c r="U44">
        <v>-1</v>
      </c>
      <c r="V44">
        <f t="shared" si="7"/>
        <v>-2</v>
      </c>
      <c r="W44">
        <f t="shared" si="8"/>
        <v>-2</v>
      </c>
      <c r="X44">
        <v>-2</v>
      </c>
      <c r="Y44">
        <v>-2</v>
      </c>
      <c r="Z44">
        <v>-2</v>
      </c>
      <c r="AA44">
        <v>-2</v>
      </c>
      <c r="AB44">
        <f t="shared" si="9"/>
        <v>-2</v>
      </c>
      <c r="AC44">
        <v>-2</v>
      </c>
      <c r="AD44">
        <v>-2</v>
      </c>
      <c r="AE44">
        <v>-2</v>
      </c>
      <c r="AF44">
        <v>-2</v>
      </c>
      <c r="AG44">
        <v>-2</v>
      </c>
      <c r="AH44">
        <v>-2</v>
      </c>
      <c r="AI44">
        <v>-2</v>
      </c>
      <c r="AJ44">
        <v>-2</v>
      </c>
      <c r="AK44">
        <v>-2</v>
      </c>
      <c r="AL44">
        <v>72246</v>
      </c>
      <c r="AM44">
        <f t="shared" si="19"/>
        <v>-2</v>
      </c>
      <c r="AN44">
        <v>-2</v>
      </c>
      <c r="AO44">
        <v>-2</v>
      </c>
      <c r="AP44">
        <v>-2</v>
      </c>
      <c r="AQ44">
        <v>-2</v>
      </c>
      <c r="AR44">
        <f t="shared" si="20"/>
        <v>-2</v>
      </c>
      <c r="AS44">
        <v>-2</v>
      </c>
      <c r="AT44">
        <v>-2</v>
      </c>
      <c r="AU44">
        <v>-2</v>
      </c>
      <c r="AV44">
        <v>-2</v>
      </c>
      <c r="AW44">
        <v>-2</v>
      </c>
      <c r="AX44">
        <v>-2</v>
      </c>
      <c r="AY44">
        <f t="shared" si="10"/>
        <v>-2</v>
      </c>
      <c r="AZ44">
        <f t="shared" si="11"/>
        <v>-2</v>
      </c>
      <c r="BA44">
        <v>-2</v>
      </c>
      <c r="BB44">
        <v>-2</v>
      </c>
      <c r="BC44">
        <v>-2</v>
      </c>
      <c r="BD44">
        <v>-2</v>
      </c>
      <c r="BE44">
        <f t="shared" si="12"/>
        <v>-2</v>
      </c>
      <c r="BF44">
        <v>-2</v>
      </c>
      <c r="BG44">
        <v>-2</v>
      </c>
      <c r="BH44">
        <v>-2</v>
      </c>
      <c r="BI44">
        <v>-2</v>
      </c>
      <c r="BJ44">
        <v>-2</v>
      </c>
      <c r="BK44">
        <v>-2</v>
      </c>
      <c r="BL44">
        <v>-2</v>
      </c>
      <c r="BM44">
        <v>-2</v>
      </c>
      <c r="BN44">
        <v>-2</v>
      </c>
      <c r="BO44">
        <v>-2</v>
      </c>
      <c r="BP44">
        <v>-2</v>
      </c>
      <c r="BQ44">
        <v>-2</v>
      </c>
      <c r="BR44">
        <v>-2</v>
      </c>
      <c r="BS44">
        <v>-2</v>
      </c>
      <c r="BT44">
        <v>-2</v>
      </c>
    </row>
    <row r="45" spans="1:72" ht="12.75">
      <c r="A45">
        <f t="shared" si="13"/>
        <v>1959</v>
      </c>
      <c r="B45" s="10" t="s">
        <v>120</v>
      </c>
      <c r="C45" s="9" t="s">
        <v>149</v>
      </c>
      <c r="D45">
        <v>1444</v>
      </c>
      <c r="E45">
        <f t="shared" si="3"/>
        <v>-2</v>
      </c>
      <c r="F45">
        <v>-2</v>
      </c>
      <c r="G45">
        <v>-2</v>
      </c>
      <c r="H45">
        <v>-2</v>
      </c>
      <c r="I45">
        <v>-2</v>
      </c>
      <c r="J45">
        <f t="shared" si="18"/>
        <v>-2</v>
      </c>
      <c r="K45">
        <v>-2</v>
      </c>
      <c r="L45">
        <v>-2</v>
      </c>
      <c r="M45">
        <f t="shared" si="4"/>
        <v>-1</v>
      </c>
      <c r="N45">
        <f t="shared" si="5"/>
        <v>-1</v>
      </c>
      <c r="O45">
        <v>-1</v>
      </c>
      <c r="P45">
        <v>-1</v>
      </c>
      <c r="Q45">
        <v>-1</v>
      </c>
      <c r="R45">
        <v>-1</v>
      </c>
      <c r="S45">
        <f t="shared" si="6"/>
        <v>-1</v>
      </c>
      <c r="T45">
        <v>-1</v>
      </c>
      <c r="U45">
        <v>-1</v>
      </c>
      <c r="V45">
        <f t="shared" si="7"/>
        <v>-2</v>
      </c>
      <c r="W45">
        <f t="shared" si="8"/>
        <v>-2</v>
      </c>
      <c r="X45">
        <v>-2</v>
      </c>
      <c r="Y45">
        <v>-2</v>
      </c>
      <c r="Z45">
        <v>-2</v>
      </c>
      <c r="AA45">
        <v>-2</v>
      </c>
      <c r="AB45">
        <f t="shared" si="9"/>
        <v>-2</v>
      </c>
      <c r="AC45">
        <v>-2</v>
      </c>
      <c r="AD45">
        <v>-2</v>
      </c>
      <c r="AE45">
        <v>-2</v>
      </c>
      <c r="AF45">
        <v>-2</v>
      </c>
      <c r="AG45">
        <v>-2</v>
      </c>
      <c r="AH45">
        <v>-2</v>
      </c>
      <c r="AI45">
        <v>-2</v>
      </c>
      <c r="AJ45">
        <v>-2</v>
      </c>
      <c r="AK45">
        <v>-2</v>
      </c>
      <c r="AL45">
        <v>74739</v>
      </c>
      <c r="AM45">
        <f t="shared" si="19"/>
        <v>-2</v>
      </c>
      <c r="AN45">
        <v>-2</v>
      </c>
      <c r="AO45">
        <v>-2</v>
      </c>
      <c r="AP45">
        <v>-2</v>
      </c>
      <c r="AQ45">
        <v>-2</v>
      </c>
      <c r="AR45">
        <f t="shared" si="20"/>
        <v>-2</v>
      </c>
      <c r="AS45">
        <v>-2</v>
      </c>
      <c r="AT45">
        <v>-2</v>
      </c>
      <c r="AU45">
        <v>-2</v>
      </c>
      <c r="AV45">
        <v>-2</v>
      </c>
      <c r="AW45">
        <v>-2</v>
      </c>
      <c r="AX45">
        <v>-2</v>
      </c>
      <c r="AY45">
        <f t="shared" si="10"/>
        <v>-2</v>
      </c>
      <c r="AZ45">
        <f t="shared" si="11"/>
        <v>-2</v>
      </c>
      <c r="BA45">
        <v>-2</v>
      </c>
      <c r="BB45">
        <v>-2</v>
      </c>
      <c r="BC45">
        <v>-2</v>
      </c>
      <c r="BD45">
        <v>-2</v>
      </c>
      <c r="BE45">
        <f t="shared" si="12"/>
        <v>-2</v>
      </c>
      <c r="BF45">
        <v>-2</v>
      </c>
      <c r="BG45">
        <v>-2</v>
      </c>
      <c r="BH45">
        <v>-2</v>
      </c>
      <c r="BI45">
        <v>-2</v>
      </c>
      <c r="BJ45">
        <v>-2</v>
      </c>
      <c r="BK45">
        <v>-2</v>
      </c>
      <c r="BL45">
        <v>-2</v>
      </c>
      <c r="BM45">
        <v>-2</v>
      </c>
      <c r="BN45">
        <v>-2</v>
      </c>
      <c r="BO45">
        <v>-2</v>
      </c>
      <c r="BP45">
        <v>-2</v>
      </c>
      <c r="BQ45">
        <v>-2</v>
      </c>
      <c r="BR45">
        <v>-2</v>
      </c>
      <c r="BS45">
        <v>-2</v>
      </c>
      <c r="BT45">
        <v>-2</v>
      </c>
    </row>
    <row r="46" spans="1:72" ht="12.75">
      <c r="A46">
        <f t="shared" si="13"/>
        <v>1960</v>
      </c>
      <c r="B46" s="10" t="s">
        <v>120</v>
      </c>
      <c r="C46" s="9" t="s">
        <v>149</v>
      </c>
      <c r="D46">
        <v>1487</v>
      </c>
      <c r="E46">
        <f t="shared" si="3"/>
        <v>-2</v>
      </c>
      <c r="F46">
        <v>-2</v>
      </c>
      <c r="G46">
        <v>-2</v>
      </c>
      <c r="H46">
        <v>-2</v>
      </c>
      <c r="I46">
        <v>-2</v>
      </c>
      <c r="J46">
        <f t="shared" si="18"/>
        <v>-2</v>
      </c>
      <c r="K46">
        <v>-2</v>
      </c>
      <c r="L46">
        <v>-2</v>
      </c>
      <c r="M46">
        <f t="shared" si="4"/>
        <v>-1</v>
      </c>
      <c r="N46">
        <f t="shared" si="5"/>
        <v>-1</v>
      </c>
      <c r="O46">
        <v>-1</v>
      </c>
      <c r="P46">
        <v>-1</v>
      </c>
      <c r="Q46">
        <v>-1</v>
      </c>
      <c r="R46">
        <v>-1</v>
      </c>
      <c r="S46">
        <f t="shared" si="6"/>
        <v>-1</v>
      </c>
      <c r="T46">
        <v>-1</v>
      </c>
      <c r="U46">
        <v>-1</v>
      </c>
      <c r="V46">
        <f t="shared" si="7"/>
        <v>-2</v>
      </c>
      <c r="W46">
        <f t="shared" si="8"/>
        <v>-2</v>
      </c>
      <c r="X46">
        <v>-2</v>
      </c>
      <c r="Y46">
        <v>-2</v>
      </c>
      <c r="Z46">
        <v>-2</v>
      </c>
      <c r="AA46">
        <v>-2</v>
      </c>
      <c r="AB46">
        <f t="shared" si="9"/>
        <v>-2</v>
      </c>
      <c r="AC46">
        <v>-2</v>
      </c>
      <c r="AD46">
        <v>-2</v>
      </c>
      <c r="AE46">
        <v>-2</v>
      </c>
      <c r="AF46">
        <v>-2</v>
      </c>
      <c r="AG46">
        <v>-2</v>
      </c>
      <c r="AH46">
        <v>-2</v>
      </c>
      <c r="AI46">
        <v>-2</v>
      </c>
      <c r="AJ46">
        <v>-2</v>
      </c>
      <c r="AK46">
        <v>-2</v>
      </c>
      <c r="AL46">
        <v>79725</v>
      </c>
      <c r="AM46">
        <f t="shared" si="19"/>
        <v>-2</v>
      </c>
      <c r="AN46">
        <v>-2</v>
      </c>
      <c r="AO46">
        <v>-2</v>
      </c>
      <c r="AP46">
        <v>-2</v>
      </c>
      <c r="AQ46">
        <v>-2</v>
      </c>
      <c r="AR46">
        <f t="shared" si="20"/>
        <v>-2</v>
      </c>
      <c r="AS46">
        <v>-2</v>
      </c>
      <c r="AT46">
        <v>-2</v>
      </c>
      <c r="AU46">
        <v>-2</v>
      </c>
      <c r="AV46">
        <v>-2</v>
      </c>
      <c r="AW46">
        <v>-2</v>
      </c>
      <c r="AX46">
        <v>-2</v>
      </c>
      <c r="AY46">
        <f t="shared" si="10"/>
        <v>-2</v>
      </c>
      <c r="AZ46">
        <f t="shared" si="11"/>
        <v>-2</v>
      </c>
      <c r="BA46">
        <v>-2</v>
      </c>
      <c r="BB46">
        <v>-2</v>
      </c>
      <c r="BC46">
        <v>-2</v>
      </c>
      <c r="BD46">
        <v>-2</v>
      </c>
      <c r="BE46">
        <f t="shared" si="12"/>
        <v>-2</v>
      </c>
      <c r="BF46">
        <v>-2</v>
      </c>
      <c r="BG46">
        <v>-2</v>
      </c>
      <c r="BH46">
        <v>-2</v>
      </c>
      <c r="BI46">
        <v>-2</v>
      </c>
      <c r="BJ46">
        <v>-2</v>
      </c>
      <c r="BK46">
        <v>-2</v>
      </c>
      <c r="BL46">
        <v>-2</v>
      </c>
      <c r="BM46">
        <v>-2</v>
      </c>
      <c r="BN46">
        <v>-2</v>
      </c>
      <c r="BO46">
        <v>-2</v>
      </c>
      <c r="BP46">
        <v>-2</v>
      </c>
      <c r="BQ46">
        <v>-2</v>
      </c>
      <c r="BR46">
        <v>-2</v>
      </c>
      <c r="BS46">
        <v>-2</v>
      </c>
      <c r="BT46">
        <v>-2</v>
      </c>
    </row>
    <row r="47" spans="1:72" ht="12.75">
      <c r="A47">
        <f t="shared" si="13"/>
        <v>1961</v>
      </c>
      <c r="B47" s="10" t="s">
        <v>120</v>
      </c>
      <c r="C47" s="9" t="s">
        <v>149</v>
      </c>
      <c r="D47">
        <v>1516</v>
      </c>
      <c r="E47">
        <f t="shared" si="3"/>
        <v>-2</v>
      </c>
      <c r="F47">
        <v>-2</v>
      </c>
      <c r="G47">
        <v>-2</v>
      </c>
      <c r="H47">
        <v>-2</v>
      </c>
      <c r="I47">
        <v>-2</v>
      </c>
      <c r="J47">
        <f t="shared" si="18"/>
        <v>-2</v>
      </c>
      <c r="K47">
        <v>-2</v>
      </c>
      <c r="L47">
        <v>-2</v>
      </c>
      <c r="M47">
        <f t="shared" si="4"/>
        <v>-1</v>
      </c>
      <c r="N47">
        <f t="shared" si="5"/>
        <v>-1</v>
      </c>
      <c r="O47">
        <v>-1</v>
      </c>
      <c r="P47">
        <v>-1</v>
      </c>
      <c r="Q47">
        <v>-1</v>
      </c>
      <c r="R47">
        <v>-1</v>
      </c>
      <c r="S47">
        <f t="shared" si="6"/>
        <v>-1</v>
      </c>
      <c r="T47">
        <v>-1</v>
      </c>
      <c r="U47">
        <v>-1</v>
      </c>
      <c r="V47">
        <f t="shared" si="7"/>
        <v>-2</v>
      </c>
      <c r="W47">
        <f t="shared" si="8"/>
        <v>-2</v>
      </c>
      <c r="X47">
        <v>-2</v>
      </c>
      <c r="Y47">
        <v>-2</v>
      </c>
      <c r="Z47">
        <v>-2</v>
      </c>
      <c r="AA47">
        <v>-2</v>
      </c>
      <c r="AB47">
        <f t="shared" si="9"/>
        <v>-2</v>
      </c>
      <c r="AC47">
        <v>-2</v>
      </c>
      <c r="AD47">
        <v>-2</v>
      </c>
      <c r="AE47">
        <v>-2</v>
      </c>
      <c r="AF47">
        <v>-2</v>
      </c>
      <c r="AG47">
        <v>-2</v>
      </c>
      <c r="AH47">
        <v>-2</v>
      </c>
      <c r="AI47">
        <v>-2</v>
      </c>
      <c r="AJ47">
        <v>-2</v>
      </c>
      <c r="AK47">
        <v>-2</v>
      </c>
      <c r="AL47">
        <v>83964</v>
      </c>
      <c r="AM47">
        <f t="shared" si="19"/>
        <v>-2</v>
      </c>
      <c r="AN47">
        <v>-2</v>
      </c>
      <c r="AO47">
        <v>-2</v>
      </c>
      <c r="AP47">
        <v>-2</v>
      </c>
      <c r="AQ47">
        <v>-2</v>
      </c>
      <c r="AR47">
        <f t="shared" si="20"/>
        <v>-2</v>
      </c>
      <c r="AS47">
        <v>-2</v>
      </c>
      <c r="AT47">
        <v>-2</v>
      </c>
      <c r="AU47">
        <v>-2</v>
      </c>
      <c r="AV47">
        <v>-2</v>
      </c>
      <c r="AW47">
        <v>-2</v>
      </c>
      <c r="AX47">
        <v>-2</v>
      </c>
      <c r="AY47">
        <f t="shared" si="10"/>
        <v>-2</v>
      </c>
      <c r="AZ47">
        <f t="shared" si="11"/>
        <v>-2</v>
      </c>
      <c r="BA47">
        <v>-2</v>
      </c>
      <c r="BB47">
        <v>-2</v>
      </c>
      <c r="BC47">
        <v>-2</v>
      </c>
      <c r="BD47">
        <v>-2</v>
      </c>
      <c r="BE47">
        <f t="shared" si="12"/>
        <v>-2</v>
      </c>
      <c r="BF47">
        <v>-2</v>
      </c>
      <c r="BG47">
        <v>-2</v>
      </c>
      <c r="BH47">
        <v>-2</v>
      </c>
      <c r="BI47">
        <v>-2</v>
      </c>
      <c r="BJ47">
        <v>-2</v>
      </c>
      <c r="BK47">
        <v>-2</v>
      </c>
      <c r="BL47">
        <v>-2</v>
      </c>
      <c r="BM47">
        <v>-2</v>
      </c>
      <c r="BN47">
        <v>-2</v>
      </c>
      <c r="BO47">
        <v>-2</v>
      </c>
      <c r="BP47">
        <v>-2</v>
      </c>
      <c r="BQ47">
        <v>-2</v>
      </c>
      <c r="BR47">
        <v>-2</v>
      </c>
      <c r="BS47">
        <v>-2</v>
      </c>
      <c r="BT47">
        <v>-2</v>
      </c>
    </row>
    <row r="48" spans="1:72" ht="12.75">
      <c r="A48">
        <f t="shared" si="13"/>
        <v>1962</v>
      </c>
      <c r="B48" s="10" t="s">
        <v>120</v>
      </c>
      <c r="C48" s="9" t="s">
        <v>149</v>
      </c>
      <c r="D48">
        <v>1543</v>
      </c>
      <c r="E48">
        <f t="shared" si="3"/>
        <v>-2</v>
      </c>
      <c r="F48">
        <v>-2</v>
      </c>
      <c r="G48">
        <v>-2</v>
      </c>
      <c r="H48">
        <v>-2</v>
      </c>
      <c r="I48">
        <v>-2</v>
      </c>
      <c r="J48">
        <f t="shared" si="18"/>
        <v>-2</v>
      </c>
      <c r="K48">
        <v>-2</v>
      </c>
      <c r="L48">
        <v>-2</v>
      </c>
      <c r="M48">
        <f t="shared" si="4"/>
        <v>-1</v>
      </c>
      <c r="N48">
        <f t="shared" si="5"/>
        <v>-1</v>
      </c>
      <c r="O48">
        <v>-1</v>
      </c>
      <c r="P48">
        <v>-1</v>
      </c>
      <c r="Q48">
        <v>-1</v>
      </c>
      <c r="R48">
        <v>-1</v>
      </c>
      <c r="S48">
        <f t="shared" si="6"/>
        <v>-1</v>
      </c>
      <c r="T48">
        <v>-1</v>
      </c>
      <c r="U48">
        <v>-1</v>
      </c>
      <c r="V48">
        <f t="shared" si="7"/>
        <v>-2</v>
      </c>
      <c r="W48">
        <f t="shared" si="8"/>
        <v>-2</v>
      </c>
      <c r="X48">
        <v>-2</v>
      </c>
      <c r="Y48">
        <v>-2</v>
      </c>
      <c r="Z48">
        <v>-2</v>
      </c>
      <c r="AA48">
        <v>-2</v>
      </c>
      <c r="AB48">
        <f t="shared" si="9"/>
        <v>-2</v>
      </c>
      <c r="AC48">
        <v>-2</v>
      </c>
      <c r="AD48">
        <v>-2</v>
      </c>
      <c r="AE48">
        <v>-2</v>
      </c>
      <c r="AF48">
        <v>-2</v>
      </c>
      <c r="AG48">
        <v>-2</v>
      </c>
      <c r="AH48">
        <v>-2</v>
      </c>
      <c r="AI48">
        <v>-2</v>
      </c>
      <c r="AJ48">
        <v>-2</v>
      </c>
      <c r="AK48">
        <v>-2</v>
      </c>
      <c r="AL48">
        <v>87310</v>
      </c>
      <c r="AM48">
        <f t="shared" si="19"/>
        <v>-2</v>
      </c>
      <c r="AN48">
        <v>-2</v>
      </c>
      <c r="AO48">
        <v>-2</v>
      </c>
      <c r="AP48">
        <v>-2</v>
      </c>
      <c r="AQ48">
        <v>-2</v>
      </c>
      <c r="AR48">
        <f t="shared" si="20"/>
        <v>-2</v>
      </c>
      <c r="AS48">
        <v>-2</v>
      </c>
      <c r="AT48">
        <v>-2</v>
      </c>
      <c r="AU48">
        <v>-2</v>
      </c>
      <c r="AV48">
        <v>-2</v>
      </c>
      <c r="AW48">
        <v>-2</v>
      </c>
      <c r="AX48">
        <v>-2</v>
      </c>
      <c r="AY48">
        <f t="shared" si="10"/>
        <v>-2</v>
      </c>
      <c r="AZ48">
        <f t="shared" si="11"/>
        <v>-2</v>
      </c>
      <c r="BA48">
        <v>-2</v>
      </c>
      <c r="BB48">
        <v>-2</v>
      </c>
      <c r="BC48">
        <v>-2</v>
      </c>
      <c r="BD48">
        <v>-2</v>
      </c>
      <c r="BE48">
        <f t="shared" si="12"/>
        <v>-2</v>
      </c>
      <c r="BF48">
        <v>-2</v>
      </c>
      <c r="BG48">
        <v>-2</v>
      </c>
      <c r="BH48">
        <v>-2</v>
      </c>
      <c r="BI48">
        <v>-2</v>
      </c>
      <c r="BJ48">
        <v>-2</v>
      </c>
      <c r="BK48">
        <v>-2</v>
      </c>
      <c r="BL48">
        <v>-2</v>
      </c>
      <c r="BM48">
        <v>-2</v>
      </c>
      <c r="BN48">
        <v>-2</v>
      </c>
      <c r="BO48">
        <v>-2</v>
      </c>
      <c r="BP48">
        <v>-2</v>
      </c>
      <c r="BQ48">
        <v>-2</v>
      </c>
      <c r="BR48">
        <v>-2</v>
      </c>
      <c r="BS48">
        <v>-2</v>
      </c>
      <c r="BT48">
        <v>-2</v>
      </c>
    </row>
    <row r="49" spans="1:72" ht="12.75">
      <c r="A49">
        <f t="shared" si="13"/>
        <v>1963</v>
      </c>
      <c r="B49" s="10" t="s">
        <v>120</v>
      </c>
      <c r="C49" s="9" t="s">
        <v>149</v>
      </c>
      <c r="D49">
        <f>IF(OR(E49=-2,J49=-2),-2,IF(OR(E49=-1,J49=-1),MAX(E49,J49),SUM(E49+J49)))</f>
        <v>-2</v>
      </c>
      <c r="E49">
        <f t="shared" si="3"/>
        <v>-2</v>
      </c>
      <c r="F49">
        <v>-2</v>
      </c>
      <c r="G49">
        <v>-2</v>
      </c>
      <c r="H49">
        <v>-2</v>
      </c>
      <c r="I49">
        <v>-2</v>
      </c>
      <c r="J49">
        <f t="shared" si="18"/>
        <v>-2</v>
      </c>
      <c r="K49">
        <v>-2</v>
      </c>
      <c r="L49">
        <v>-2</v>
      </c>
      <c r="M49">
        <f t="shared" si="4"/>
        <v>-1</v>
      </c>
      <c r="N49">
        <f t="shared" si="5"/>
        <v>-1</v>
      </c>
      <c r="O49">
        <v>-1</v>
      </c>
      <c r="P49">
        <v>-1</v>
      </c>
      <c r="Q49">
        <v>-1</v>
      </c>
      <c r="R49">
        <v>-1</v>
      </c>
      <c r="S49">
        <f t="shared" si="6"/>
        <v>-1</v>
      </c>
      <c r="T49">
        <v>-1</v>
      </c>
      <c r="U49">
        <v>-1</v>
      </c>
      <c r="V49">
        <f t="shared" si="7"/>
        <v>-2</v>
      </c>
      <c r="W49">
        <f t="shared" si="8"/>
        <v>-2</v>
      </c>
      <c r="X49">
        <v>-2</v>
      </c>
      <c r="Y49">
        <v>-2</v>
      </c>
      <c r="Z49">
        <v>-2</v>
      </c>
      <c r="AA49">
        <v>-2</v>
      </c>
      <c r="AB49">
        <f t="shared" si="9"/>
        <v>-2</v>
      </c>
      <c r="AC49">
        <v>-2</v>
      </c>
      <c r="AD49">
        <v>-2</v>
      </c>
      <c r="AE49">
        <v>-2</v>
      </c>
      <c r="AF49">
        <v>-2</v>
      </c>
      <c r="AG49">
        <v>-2</v>
      </c>
      <c r="AH49">
        <v>-2</v>
      </c>
      <c r="AI49">
        <v>-2</v>
      </c>
      <c r="AJ49">
        <v>-2</v>
      </c>
      <c r="AK49">
        <v>-2</v>
      </c>
      <c r="AL49">
        <f aca="true" t="shared" si="21" ref="AL49:AL57">IF(OR(AM49=-2,AR49=-2),-2,IF(OR(AM49=-1,AR49=-1),MAX(AM49,AR49),SUM(AM49+AR49)))</f>
        <v>-2</v>
      </c>
      <c r="AM49">
        <f t="shared" si="19"/>
        <v>-2</v>
      </c>
      <c r="AN49">
        <v>-2</v>
      </c>
      <c r="AO49">
        <v>-2</v>
      </c>
      <c r="AP49">
        <v>-2</v>
      </c>
      <c r="AQ49">
        <v>-2</v>
      </c>
      <c r="AR49">
        <f t="shared" si="20"/>
        <v>-2</v>
      </c>
      <c r="AS49">
        <v>-2</v>
      </c>
      <c r="AT49">
        <v>-2</v>
      </c>
      <c r="AU49">
        <v>-2</v>
      </c>
      <c r="AV49">
        <v>-2</v>
      </c>
      <c r="AW49">
        <v>-2</v>
      </c>
      <c r="AX49">
        <v>-2</v>
      </c>
      <c r="AY49">
        <f t="shared" si="10"/>
        <v>-2</v>
      </c>
      <c r="AZ49">
        <f t="shared" si="11"/>
        <v>-2</v>
      </c>
      <c r="BA49">
        <v>-2</v>
      </c>
      <c r="BB49">
        <v>-2</v>
      </c>
      <c r="BC49">
        <v>-2</v>
      </c>
      <c r="BD49">
        <v>-2</v>
      </c>
      <c r="BE49">
        <f t="shared" si="12"/>
        <v>-2</v>
      </c>
      <c r="BF49">
        <v>-2</v>
      </c>
      <c r="BG49">
        <v>-2</v>
      </c>
      <c r="BH49">
        <v>-2</v>
      </c>
      <c r="BI49">
        <v>-2</v>
      </c>
      <c r="BJ49">
        <v>-2</v>
      </c>
      <c r="BK49">
        <v>-2</v>
      </c>
      <c r="BL49">
        <v>-2</v>
      </c>
      <c r="BM49">
        <v>-2</v>
      </c>
      <c r="BN49">
        <v>-2</v>
      </c>
      <c r="BO49">
        <v>-2</v>
      </c>
      <c r="BP49">
        <v>-2</v>
      </c>
      <c r="BQ49">
        <v>-2</v>
      </c>
      <c r="BR49">
        <v>-2</v>
      </c>
      <c r="BS49">
        <v>-2</v>
      </c>
      <c r="BT49">
        <v>-2</v>
      </c>
    </row>
    <row r="50" spans="1:72" ht="12.75">
      <c r="A50">
        <f t="shared" si="13"/>
        <v>1964</v>
      </c>
      <c r="B50" s="10" t="s">
        <v>120</v>
      </c>
      <c r="C50" s="9" t="s">
        <v>149</v>
      </c>
      <c r="D50">
        <f>IF(OR(E50=-2,J50=-2),-2,IF(OR(E50=-1,J50=-1),MAX(E50,J50),SUM(E50+J50)))</f>
        <v>-2</v>
      </c>
      <c r="E50">
        <f t="shared" si="3"/>
        <v>-2</v>
      </c>
      <c r="F50">
        <v>-2</v>
      </c>
      <c r="G50">
        <v>-2</v>
      </c>
      <c r="H50">
        <v>-2</v>
      </c>
      <c r="I50">
        <v>-2</v>
      </c>
      <c r="J50">
        <f t="shared" si="18"/>
        <v>-2</v>
      </c>
      <c r="K50">
        <v>-2</v>
      </c>
      <c r="L50">
        <v>-2</v>
      </c>
      <c r="M50">
        <f t="shared" si="4"/>
        <v>-1</v>
      </c>
      <c r="N50">
        <f t="shared" si="5"/>
        <v>-1</v>
      </c>
      <c r="O50">
        <v>-1</v>
      </c>
      <c r="P50">
        <v>-1</v>
      </c>
      <c r="Q50">
        <v>-1</v>
      </c>
      <c r="R50">
        <v>-1</v>
      </c>
      <c r="S50">
        <f t="shared" si="6"/>
        <v>-1</v>
      </c>
      <c r="T50">
        <v>-1</v>
      </c>
      <c r="U50">
        <v>-1</v>
      </c>
      <c r="V50">
        <f t="shared" si="7"/>
        <v>-2</v>
      </c>
      <c r="W50">
        <f t="shared" si="8"/>
        <v>-2</v>
      </c>
      <c r="X50">
        <v>-2</v>
      </c>
      <c r="Y50">
        <v>-2</v>
      </c>
      <c r="Z50">
        <v>-2</v>
      </c>
      <c r="AA50">
        <v>-2</v>
      </c>
      <c r="AB50">
        <f t="shared" si="9"/>
        <v>-2</v>
      </c>
      <c r="AC50">
        <v>-2</v>
      </c>
      <c r="AD50">
        <v>-2</v>
      </c>
      <c r="AE50">
        <v>-2</v>
      </c>
      <c r="AF50">
        <v>-2</v>
      </c>
      <c r="AG50">
        <v>-2</v>
      </c>
      <c r="AH50">
        <v>-2</v>
      </c>
      <c r="AI50">
        <v>-2</v>
      </c>
      <c r="AJ50">
        <v>-2</v>
      </c>
      <c r="AK50">
        <v>-2</v>
      </c>
      <c r="AL50">
        <f t="shared" si="21"/>
        <v>-2</v>
      </c>
      <c r="AM50">
        <f t="shared" si="19"/>
        <v>-2</v>
      </c>
      <c r="AN50">
        <v>-2</v>
      </c>
      <c r="AO50">
        <v>-2</v>
      </c>
      <c r="AP50">
        <v>-2</v>
      </c>
      <c r="AQ50">
        <v>-2</v>
      </c>
      <c r="AR50">
        <f t="shared" si="20"/>
        <v>-2</v>
      </c>
      <c r="AS50">
        <v>-2</v>
      </c>
      <c r="AT50">
        <v>-2</v>
      </c>
      <c r="AU50">
        <v>-2</v>
      </c>
      <c r="AV50">
        <v>-2</v>
      </c>
      <c r="AW50">
        <v>-2</v>
      </c>
      <c r="AX50">
        <v>-2</v>
      </c>
      <c r="AY50">
        <f t="shared" si="10"/>
        <v>-2</v>
      </c>
      <c r="AZ50">
        <f t="shared" si="11"/>
        <v>-2</v>
      </c>
      <c r="BA50">
        <v>-2</v>
      </c>
      <c r="BB50">
        <v>-2</v>
      </c>
      <c r="BC50">
        <v>-2</v>
      </c>
      <c r="BD50">
        <v>-2</v>
      </c>
      <c r="BE50">
        <f t="shared" si="12"/>
        <v>-2</v>
      </c>
      <c r="BF50">
        <v>-2</v>
      </c>
      <c r="BG50">
        <v>-2</v>
      </c>
      <c r="BH50">
        <v>-2</v>
      </c>
      <c r="BI50">
        <v>-2</v>
      </c>
      <c r="BJ50">
        <v>-2</v>
      </c>
      <c r="BK50">
        <v>-2</v>
      </c>
      <c r="BL50">
        <v>-2</v>
      </c>
      <c r="BM50">
        <v>-2</v>
      </c>
      <c r="BN50">
        <v>-2</v>
      </c>
      <c r="BO50">
        <v>-2</v>
      </c>
      <c r="BP50">
        <v>-2</v>
      </c>
      <c r="BQ50">
        <v>-2</v>
      </c>
      <c r="BR50">
        <v>-2</v>
      </c>
      <c r="BS50">
        <v>-2</v>
      </c>
      <c r="BT50">
        <v>-2</v>
      </c>
    </row>
    <row r="51" spans="1:72" ht="12.75">
      <c r="A51">
        <f t="shared" si="13"/>
        <v>1965</v>
      </c>
      <c r="B51" s="10" t="s">
        <v>120</v>
      </c>
      <c r="C51" s="9" t="s">
        <v>149</v>
      </c>
      <c r="D51">
        <f>IF(OR(E51=-2,J51=-2),-2,IF(OR(E51=-1,J51=-1),MAX(E51,J51),SUM(E51+J51)))</f>
        <v>-2</v>
      </c>
      <c r="E51">
        <f t="shared" si="3"/>
        <v>-2</v>
      </c>
      <c r="F51">
        <v>-2</v>
      </c>
      <c r="G51">
        <v>-2</v>
      </c>
      <c r="H51">
        <v>-2</v>
      </c>
      <c r="I51">
        <v>-2</v>
      </c>
      <c r="J51">
        <f t="shared" si="18"/>
        <v>-2</v>
      </c>
      <c r="K51">
        <v>-2</v>
      </c>
      <c r="L51">
        <v>-2</v>
      </c>
      <c r="M51">
        <f t="shared" si="4"/>
        <v>-1</v>
      </c>
      <c r="N51">
        <f t="shared" si="5"/>
        <v>-1</v>
      </c>
      <c r="O51">
        <v>-1</v>
      </c>
      <c r="P51">
        <v>-1</v>
      </c>
      <c r="Q51">
        <v>-1</v>
      </c>
      <c r="R51">
        <v>-1</v>
      </c>
      <c r="S51">
        <f t="shared" si="6"/>
        <v>-1</v>
      </c>
      <c r="T51">
        <v>-1</v>
      </c>
      <c r="U51">
        <v>-1</v>
      </c>
      <c r="V51">
        <f t="shared" si="7"/>
        <v>-2</v>
      </c>
      <c r="W51">
        <f t="shared" si="8"/>
        <v>-2</v>
      </c>
      <c r="X51">
        <v>-2</v>
      </c>
      <c r="Y51">
        <v>-2</v>
      </c>
      <c r="Z51">
        <v>-2</v>
      </c>
      <c r="AA51">
        <v>-2</v>
      </c>
      <c r="AB51">
        <f t="shared" si="9"/>
        <v>-2</v>
      </c>
      <c r="AC51">
        <v>-2</v>
      </c>
      <c r="AD51">
        <v>-2</v>
      </c>
      <c r="AE51">
        <v>-2</v>
      </c>
      <c r="AF51">
        <v>-2</v>
      </c>
      <c r="AG51">
        <v>-2</v>
      </c>
      <c r="AH51">
        <v>-2</v>
      </c>
      <c r="AI51">
        <v>-2</v>
      </c>
      <c r="AJ51">
        <v>-2</v>
      </c>
      <c r="AK51">
        <v>-2</v>
      </c>
      <c r="AL51">
        <f t="shared" si="21"/>
        <v>-2</v>
      </c>
      <c r="AM51">
        <f t="shared" si="19"/>
        <v>-2</v>
      </c>
      <c r="AN51">
        <v>-2</v>
      </c>
      <c r="AO51">
        <v>-2</v>
      </c>
      <c r="AP51">
        <v>-2</v>
      </c>
      <c r="AQ51">
        <v>-2</v>
      </c>
      <c r="AR51">
        <f t="shared" si="20"/>
        <v>-2</v>
      </c>
      <c r="AS51">
        <v>-2</v>
      </c>
      <c r="AT51">
        <v>-2</v>
      </c>
      <c r="AU51">
        <v>-2</v>
      </c>
      <c r="AV51">
        <v>-2</v>
      </c>
      <c r="AW51">
        <v>-2</v>
      </c>
      <c r="AX51">
        <v>-2</v>
      </c>
      <c r="AY51">
        <f t="shared" si="10"/>
        <v>-2</v>
      </c>
      <c r="AZ51">
        <f t="shared" si="11"/>
        <v>-2</v>
      </c>
      <c r="BA51">
        <v>-2</v>
      </c>
      <c r="BB51">
        <v>-2</v>
      </c>
      <c r="BC51">
        <v>-2</v>
      </c>
      <c r="BD51">
        <v>-2</v>
      </c>
      <c r="BE51">
        <f t="shared" si="12"/>
        <v>-2</v>
      </c>
      <c r="BF51">
        <v>-2</v>
      </c>
      <c r="BG51">
        <v>-2</v>
      </c>
      <c r="BH51">
        <v>-2</v>
      </c>
      <c r="BI51">
        <v>-2</v>
      </c>
      <c r="BJ51">
        <v>-2</v>
      </c>
      <c r="BK51">
        <v>-2</v>
      </c>
      <c r="BL51">
        <v>-2</v>
      </c>
      <c r="BM51">
        <v>-2</v>
      </c>
      <c r="BN51">
        <v>-2</v>
      </c>
      <c r="BO51">
        <v>-2</v>
      </c>
      <c r="BP51">
        <v>-2</v>
      </c>
      <c r="BQ51">
        <v>-2</v>
      </c>
      <c r="BR51">
        <v>-2</v>
      </c>
      <c r="BS51">
        <v>-2</v>
      </c>
      <c r="BT51">
        <v>-2</v>
      </c>
    </row>
    <row r="52" spans="1:72" ht="12.75">
      <c r="A52">
        <f t="shared" si="13"/>
        <v>1966</v>
      </c>
      <c r="B52" s="10" t="s">
        <v>120</v>
      </c>
      <c r="C52" s="9" t="s">
        <v>149</v>
      </c>
      <c r="D52">
        <f>IF(OR(E52=-2,J52=-2),-2,IF(OR(E52=-1,J52=-1),MAX(E52,J52),SUM(E52+J52)))</f>
        <v>-2</v>
      </c>
      <c r="E52">
        <f t="shared" si="3"/>
        <v>-2</v>
      </c>
      <c r="F52">
        <v>-2</v>
      </c>
      <c r="G52">
        <v>-2</v>
      </c>
      <c r="H52">
        <v>-2</v>
      </c>
      <c r="I52">
        <v>-2</v>
      </c>
      <c r="J52">
        <f t="shared" si="18"/>
        <v>-2</v>
      </c>
      <c r="K52">
        <v>-2</v>
      </c>
      <c r="L52">
        <v>-2</v>
      </c>
      <c r="M52">
        <f t="shared" si="4"/>
        <v>-1</v>
      </c>
      <c r="N52">
        <f t="shared" si="5"/>
        <v>-1</v>
      </c>
      <c r="O52">
        <v>-1</v>
      </c>
      <c r="P52">
        <v>-1</v>
      </c>
      <c r="Q52">
        <v>-1</v>
      </c>
      <c r="R52">
        <v>-1</v>
      </c>
      <c r="S52">
        <f t="shared" si="6"/>
        <v>-1</v>
      </c>
      <c r="T52">
        <v>-1</v>
      </c>
      <c r="U52">
        <v>-1</v>
      </c>
      <c r="V52">
        <f t="shared" si="7"/>
        <v>-2</v>
      </c>
      <c r="W52">
        <f t="shared" si="8"/>
        <v>-2</v>
      </c>
      <c r="X52">
        <v>-2</v>
      </c>
      <c r="Y52">
        <v>-2</v>
      </c>
      <c r="Z52">
        <v>-2</v>
      </c>
      <c r="AA52">
        <v>-2</v>
      </c>
      <c r="AB52">
        <f t="shared" si="9"/>
        <v>-2</v>
      </c>
      <c r="AC52">
        <v>-2</v>
      </c>
      <c r="AD52">
        <v>-2</v>
      </c>
      <c r="AE52">
        <v>-2</v>
      </c>
      <c r="AF52">
        <v>-2</v>
      </c>
      <c r="AG52">
        <v>-2</v>
      </c>
      <c r="AH52">
        <v>-2</v>
      </c>
      <c r="AI52">
        <v>-2</v>
      </c>
      <c r="AJ52">
        <v>-2</v>
      </c>
      <c r="AK52">
        <v>-2</v>
      </c>
      <c r="AL52">
        <f t="shared" si="21"/>
        <v>-2</v>
      </c>
      <c r="AM52">
        <f t="shared" si="19"/>
        <v>-2</v>
      </c>
      <c r="AN52">
        <v>-2</v>
      </c>
      <c r="AO52">
        <v>-2</v>
      </c>
      <c r="AP52">
        <v>-2</v>
      </c>
      <c r="AQ52">
        <v>-2</v>
      </c>
      <c r="AR52">
        <f t="shared" si="20"/>
        <v>-2</v>
      </c>
      <c r="AS52">
        <v>-2</v>
      </c>
      <c r="AT52">
        <v>-2</v>
      </c>
      <c r="AU52">
        <v>-2</v>
      </c>
      <c r="AV52">
        <v>-2</v>
      </c>
      <c r="AW52">
        <v>-2</v>
      </c>
      <c r="AX52">
        <v>-2</v>
      </c>
      <c r="AY52">
        <f t="shared" si="10"/>
        <v>-2</v>
      </c>
      <c r="AZ52">
        <f t="shared" si="11"/>
        <v>-2</v>
      </c>
      <c r="BA52">
        <v>-2</v>
      </c>
      <c r="BB52">
        <v>-2</v>
      </c>
      <c r="BC52">
        <v>-2</v>
      </c>
      <c r="BD52">
        <v>-2</v>
      </c>
      <c r="BE52">
        <f t="shared" si="12"/>
        <v>-2</v>
      </c>
      <c r="BF52">
        <v>-2</v>
      </c>
      <c r="BG52">
        <v>-2</v>
      </c>
      <c r="BH52">
        <v>-2</v>
      </c>
      <c r="BI52">
        <v>-2</v>
      </c>
      <c r="BJ52">
        <v>-2</v>
      </c>
      <c r="BK52">
        <v>-2</v>
      </c>
      <c r="BL52">
        <v>-2</v>
      </c>
      <c r="BM52">
        <v>-2</v>
      </c>
      <c r="BN52">
        <v>-2</v>
      </c>
      <c r="BO52">
        <v>-2</v>
      </c>
      <c r="BP52">
        <v>-2</v>
      </c>
      <c r="BQ52">
        <v>-2</v>
      </c>
      <c r="BR52">
        <v>-2</v>
      </c>
      <c r="BS52">
        <v>-2</v>
      </c>
      <c r="BT52">
        <v>-2</v>
      </c>
    </row>
    <row r="53" spans="1:72" ht="12.75">
      <c r="A53">
        <f t="shared" si="13"/>
        <v>1967</v>
      </c>
      <c r="B53" s="10" t="s">
        <v>120</v>
      </c>
      <c r="C53" s="9" t="s">
        <v>149</v>
      </c>
      <c r="D53">
        <f aca="true" t="shared" si="22" ref="D53:D59">IF(OR(E53=-2,J53=-2),-2,IF(OR(E53=-1,J53=-1),MAX(E53,J53),SUM(E53+J53)))</f>
        <v>1875</v>
      </c>
      <c r="E53">
        <f t="shared" si="3"/>
        <v>1122</v>
      </c>
      <c r="F53">
        <v>7</v>
      </c>
      <c r="G53">
        <v>6</v>
      </c>
      <c r="H53">
        <v>1109</v>
      </c>
      <c r="I53">
        <v>-1</v>
      </c>
      <c r="J53">
        <f t="shared" si="18"/>
        <v>753</v>
      </c>
      <c r="K53">
        <f>527+22+48+141</f>
        <v>738</v>
      </c>
      <c r="L53">
        <f>8+7</f>
        <v>15</v>
      </c>
      <c r="M53">
        <f t="shared" si="4"/>
        <v>-1</v>
      </c>
      <c r="N53">
        <f t="shared" si="5"/>
        <v>-1</v>
      </c>
      <c r="O53">
        <v>-1</v>
      </c>
      <c r="P53">
        <v>-1</v>
      </c>
      <c r="Q53">
        <v>-1</v>
      </c>
      <c r="R53">
        <v>-1</v>
      </c>
      <c r="S53">
        <f t="shared" si="6"/>
        <v>-1</v>
      </c>
      <c r="T53">
        <v>-1</v>
      </c>
      <c r="U53">
        <v>-1</v>
      </c>
      <c r="V53">
        <f>3780+229+386</f>
        <v>4395</v>
      </c>
      <c r="W53">
        <f>2675+99+158</f>
        <v>2932</v>
      </c>
      <c r="X53">
        <v>-2</v>
      </c>
      <c r="Y53">
        <v>-2</v>
      </c>
      <c r="Z53">
        <v>-2</v>
      </c>
      <c r="AA53">
        <v>-2</v>
      </c>
      <c r="AB53">
        <f>V53-W53</f>
        <v>1463</v>
      </c>
      <c r="AC53">
        <v>-2</v>
      </c>
      <c r="AD53">
        <v>-2</v>
      </c>
      <c r="AE53">
        <v>-2</v>
      </c>
      <c r="AF53">
        <v>-2</v>
      </c>
      <c r="AG53">
        <v>-2</v>
      </c>
      <c r="AH53">
        <v>-2</v>
      </c>
      <c r="AI53">
        <v>-2</v>
      </c>
      <c r="AJ53">
        <v>-2</v>
      </c>
      <c r="AK53">
        <v>-2</v>
      </c>
      <c r="AL53">
        <f t="shared" si="21"/>
        <v>120596</v>
      </c>
      <c r="AM53">
        <f t="shared" si="19"/>
        <v>75292</v>
      </c>
      <c r="AN53">
        <v>401</v>
      </c>
      <c r="AO53">
        <v>227</v>
      </c>
      <c r="AP53">
        <v>74664</v>
      </c>
      <c r="AQ53">
        <v>-1</v>
      </c>
      <c r="AR53">
        <f t="shared" si="20"/>
        <v>45304</v>
      </c>
      <c r="AS53">
        <f>33895+1101+2630+7198</f>
        <v>44824</v>
      </c>
      <c r="AT53">
        <f>234+246</f>
        <v>480</v>
      </c>
      <c r="AU53">
        <v>-2</v>
      </c>
      <c r="AV53">
        <v>-2</v>
      </c>
      <c r="AW53">
        <v>-2</v>
      </c>
      <c r="AX53">
        <v>-2</v>
      </c>
      <c r="AY53">
        <f t="shared" si="10"/>
        <v>-2</v>
      </c>
      <c r="AZ53">
        <f t="shared" si="11"/>
        <v>-2</v>
      </c>
      <c r="BA53">
        <v>-2</v>
      </c>
      <c r="BB53">
        <v>-2</v>
      </c>
      <c r="BC53">
        <v>-2</v>
      </c>
      <c r="BD53">
        <v>-2</v>
      </c>
      <c r="BE53">
        <f t="shared" si="12"/>
        <v>-2</v>
      </c>
      <c r="BF53">
        <v>-2</v>
      </c>
      <c r="BG53">
        <v>-2</v>
      </c>
      <c r="BH53">
        <v>-2</v>
      </c>
      <c r="BI53">
        <v>-2</v>
      </c>
      <c r="BJ53">
        <v>-2</v>
      </c>
      <c r="BK53">
        <v>-2</v>
      </c>
      <c r="BL53">
        <v>-2</v>
      </c>
      <c r="BM53">
        <v>-2</v>
      </c>
      <c r="BN53">
        <v>-2</v>
      </c>
      <c r="BO53">
        <v>-2</v>
      </c>
      <c r="BP53">
        <v>-2</v>
      </c>
      <c r="BQ53">
        <v>-2</v>
      </c>
      <c r="BR53">
        <v>-2</v>
      </c>
      <c r="BS53">
        <v>-2</v>
      </c>
      <c r="BT53">
        <v>-2</v>
      </c>
    </row>
    <row r="54" spans="1:72" ht="12.75">
      <c r="A54">
        <f t="shared" si="13"/>
        <v>1968</v>
      </c>
      <c r="B54" s="10" t="s">
        <v>120</v>
      </c>
      <c r="C54" s="9" t="s">
        <v>149</v>
      </c>
      <c r="D54">
        <f t="shared" si="22"/>
        <v>1921</v>
      </c>
      <c r="E54">
        <f t="shared" si="3"/>
        <v>1155</v>
      </c>
      <c r="F54">
        <v>10</v>
      </c>
      <c r="G54">
        <v>5</v>
      </c>
      <c r="H54">
        <v>1140</v>
      </c>
      <c r="I54">
        <v>-1</v>
      </c>
      <c r="J54">
        <f t="shared" si="18"/>
        <v>766</v>
      </c>
      <c r="K54">
        <f>530+23+46+104</f>
        <v>703</v>
      </c>
      <c r="L54">
        <f>56+7</f>
        <v>63</v>
      </c>
      <c r="M54">
        <f t="shared" si="4"/>
        <v>-1</v>
      </c>
      <c r="N54">
        <f t="shared" si="5"/>
        <v>-1</v>
      </c>
      <c r="O54">
        <v>-1</v>
      </c>
      <c r="P54">
        <v>-1</v>
      </c>
      <c r="Q54">
        <v>-1</v>
      </c>
      <c r="R54">
        <v>-1</v>
      </c>
      <c r="S54">
        <f t="shared" si="6"/>
        <v>-1</v>
      </c>
      <c r="T54">
        <v>-1</v>
      </c>
      <c r="U54">
        <v>-1</v>
      </c>
      <c r="V54">
        <f>3883+224+373</f>
        <v>4480</v>
      </c>
      <c r="W54">
        <f>2729+84+126</f>
        <v>2939</v>
      </c>
      <c r="X54">
        <v>-2</v>
      </c>
      <c r="Y54">
        <v>-2</v>
      </c>
      <c r="Z54">
        <v>-2</v>
      </c>
      <c r="AA54">
        <v>-2</v>
      </c>
      <c r="AB54">
        <f>V54-W54</f>
        <v>1541</v>
      </c>
      <c r="AC54">
        <v>-2</v>
      </c>
      <c r="AD54">
        <v>-2</v>
      </c>
      <c r="AE54">
        <v>-2</v>
      </c>
      <c r="AF54">
        <v>-2</v>
      </c>
      <c r="AG54">
        <v>-2</v>
      </c>
      <c r="AH54">
        <v>-2</v>
      </c>
      <c r="AI54">
        <v>-2</v>
      </c>
      <c r="AJ54">
        <v>-2</v>
      </c>
      <c r="AK54">
        <v>-2</v>
      </c>
      <c r="AL54">
        <f t="shared" si="21"/>
        <v>110394</v>
      </c>
      <c r="AM54">
        <f t="shared" si="19"/>
        <v>69164</v>
      </c>
      <c r="AN54">
        <v>439</v>
      </c>
      <c r="AO54">
        <v>237</v>
      </c>
      <c r="AP54">
        <v>68488</v>
      </c>
      <c r="AQ54">
        <v>-1</v>
      </c>
      <c r="AR54">
        <f aca="true" t="shared" si="23" ref="AR54:AR72">IF(OR(AS54&gt;=0,AT54&gt;=0),SUMIF(AS54:AT54,"&gt;=0",AS54:AT54),MIN(AS54:AT54))</f>
        <v>41230</v>
      </c>
      <c r="AS54">
        <f>32225+1123+2615+3095</f>
        <v>39058</v>
      </c>
      <c r="AT54">
        <f>1985+187</f>
        <v>2172</v>
      </c>
      <c r="AU54">
        <v>-2</v>
      </c>
      <c r="AV54">
        <v>-2</v>
      </c>
      <c r="AW54">
        <v>-2</v>
      </c>
      <c r="AX54">
        <v>-2</v>
      </c>
      <c r="AY54">
        <f t="shared" si="10"/>
        <v>-2</v>
      </c>
      <c r="AZ54">
        <f t="shared" si="11"/>
        <v>-2</v>
      </c>
      <c r="BA54">
        <v>-2</v>
      </c>
      <c r="BB54">
        <v>-2</v>
      </c>
      <c r="BC54">
        <v>-2</v>
      </c>
      <c r="BD54">
        <v>-2</v>
      </c>
      <c r="BE54">
        <f t="shared" si="12"/>
        <v>-2</v>
      </c>
      <c r="BF54">
        <v>-2</v>
      </c>
      <c r="BG54">
        <v>-2</v>
      </c>
      <c r="BH54">
        <v>-2</v>
      </c>
      <c r="BI54">
        <v>-2</v>
      </c>
      <c r="BJ54">
        <v>-2</v>
      </c>
      <c r="BK54">
        <v>-2</v>
      </c>
      <c r="BL54">
        <v>-2</v>
      </c>
      <c r="BM54">
        <v>-2</v>
      </c>
      <c r="BN54">
        <v>-2</v>
      </c>
      <c r="BO54">
        <v>-2</v>
      </c>
      <c r="BP54">
        <v>-2</v>
      </c>
      <c r="BQ54">
        <v>-2</v>
      </c>
      <c r="BR54">
        <v>-2</v>
      </c>
      <c r="BS54">
        <v>-2</v>
      </c>
      <c r="BT54">
        <v>-2</v>
      </c>
    </row>
    <row r="55" spans="1:72" ht="12.75">
      <c r="A55">
        <f t="shared" si="13"/>
        <v>1969</v>
      </c>
      <c r="B55" s="10" t="s">
        <v>120</v>
      </c>
      <c r="C55" s="9" t="s">
        <v>149</v>
      </c>
      <c r="D55">
        <f t="shared" si="22"/>
        <v>1962</v>
      </c>
      <c r="E55">
        <f t="shared" si="3"/>
        <v>1194</v>
      </c>
      <c r="F55">
        <v>6</v>
      </c>
      <c r="G55">
        <v>4</v>
      </c>
      <c r="H55">
        <v>1184</v>
      </c>
      <c r="I55">
        <v>-1</v>
      </c>
      <c r="J55">
        <f t="shared" si="18"/>
        <v>768</v>
      </c>
      <c r="K55">
        <f>531+24+44+101</f>
        <v>700</v>
      </c>
      <c r="L55">
        <f>61+7</f>
        <v>68</v>
      </c>
      <c r="M55">
        <f t="shared" si="4"/>
        <v>-1</v>
      </c>
      <c r="N55">
        <f t="shared" si="5"/>
        <v>-1</v>
      </c>
      <c r="O55">
        <v>-1</v>
      </c>
      <c r="P55">
        <v>-1</v>
      </c>
      <c r="Q55">
        <v>-1</v>
      </c>
      <c r="R55">
        <v>-1</v>
      </c>
      <c r="S55">
        <f t="shared" si="6"/>
        <v>-1</v>
      </c>
      <c r="T55">
        <v>-1</v>
      </c>
      <c r="U55">
        <v>-1</v>
      </c>
      <c r="V55">
        <f>4123+246+411</f>
        <v>4780</v>
      </c>
      <c r="W55">
        <f>2932+93+140</f>
        <v>3165</v>
      </c>
      <c r="X55">
        <v>-2</v>
      </c>
      <c r="Y55">
        <v>-2</v>
      </c>
      <c r="Z55">
        <v>-2</v>
      </c>
      <c r="AA55">
        <v>-2</v>
      </c>
      <c r="AB55">
        <f>V55-W55</f>
        <v>1615</v>
      </c>
      <c r="AC55">
        <v>-2</v>
      </c>
      <c r="AD55">
        <v>-2</v>
      </c>
      <c r="AE55">
        <v>-2</v>
      </c>
      <c r="AF55">
        <v>-2</v>
      </c>
      <c r="AG55">
        <v>-2</v>
      </c>
      <c r="AH55">
        <v>-2</v>
      </c>
      <c r="AI55">
        <v>-2</v>
      </c>
      <c r="AJ55">
        <v>-2</v>
      </c>
      <c r="AK55">
        <v>-2</v>
      </c>
      <c r="AL55">
        <f t="shared" si="21"/>
        <v>114163</v>
      </c>
      <c r="AM55">
        <f t="shared" si="19"/>
        <v>72142</v>
      </c>
      <c r="AN55">
        <v>398</v>
      </c>
      <c r="AO55">
        <v>141</v>
      </c>
      <c r="AP55">
        <v>71603</v>
      </c>
      <c r="AQ55">
        <v>-1</v>
      </c>
      <c r="AR55">
        <f t="shared" si="23"/>
        <v>42021</v>
      </c>
      <c r="AS55">
        <f>32507+1188+2492+3474</f>
        <v>39661</v>
      </c>
      <c r="AT55">
        <f>2178+182</f>
        <v>2360</v>
      </c>
      <c r="AU55">
        <v>-2</v>
      </c>
      <c r="AV55">
        <v>-2</v>
      </c>
      <c r="AW55">
        <v>-2</v>
      </c>
      <c r="AX55">
        <v>-2</v>
      </c>
      <c r="AY55">
        <f t="shared" si="10"/>
        <v>-2</v>
      </c>
      <c r="AZ55">
        <f t="shared" si="11"/>
        <v>-2</v>
      </c>
      <c r="BA55">
        <v>-2</v>
      </c>
      <c r="BB55">
        <v>-2</v>
      </c>
      <c r="BC55">
        <v>-2</v>
      </c>
      <c r="BD55">
        <v>-2</v>
      </c>
      <c r="BE55">
        <f t="shared" si="12"/>
        <v>-2</v>
      </c>
      <c r="BF55">
        <v>-2</v>
      </c>
      <c r="BG55">
        <v>-2</v>
      </c>
      <c r="BH55">
        <v>-2</v>
      </c>
      <c r="BI55">
        <v>-2</v>
      </c>
      <c r="BJ55">
        <v>-2</v>
      </c>
      <c r="BK55">
        <v>-2</v>
      </c>
      <c r="BL55">
        <v>-2</v>
      </c>
      <c r="BM55">
        <v>-2</v>
      </c>
      <c r="BN55">
        <v>-2</v>
      </c>
      <c r="BO55">
        <v>-2</v>
      </c>
      <c r="BP55">
        <v>-2</v>
      </c>
      <c r="BQ55">
        <v>-2</v>
      </c>
      <c r="BR55">
        <v>-2</v>
      </c>
      <c r="BS55">
        <v>-2</v>
      </c>
      <c r="BT55">
        <v>-2</v>
      </c>
    </row>
    <row r="56" spans="1:72" ht="12.75">
      <c r="A56">
        <f t="shared" si="13"/>
        <v>1970</v>
      </c>
      <c r="B56" s="10" t="s">
        <v>120</v>
      </c>
      <c r="C56" s="9" t="s">
        <v>149</v>
      </c>
      <c r="D56">
        <f t="shared" si="22"/>
        <v>2079</v>
      </c>
      <c r="E56">
        <f t="shared" si="3"/>
        <v>1266</v>
      </c>
      <c r="F56">
        <v>17</v>
      </c>
      <c r="G56">
        <v>5</v>
      </c>
      <c r="H56">
        <v>1244</v>
      </c>
      <c r="I56">
        <v>-1</v>
      </c>
      <c r="J56">
        <f t="shared" si="18"/>
        <v>813</v>
      </c>
      <c r="K56">
        <f>546+25+40+105</f>
        <v>716</v>
      </c>
      <c r="L56">
        <f>90+7</f>
        <v>97</v>
      </c>
      <c r="M56">
        <f t="shared" si="4"/>
        <v>-1</v>
      </c>
      <c r="N56">
        <f t="shared" si="5"/>
        <v>-1</v>
      </c>
      <c r="O56">
        <v>-1</v>
      </c>
      <c r="P56">
        <v>-1</v>
      </c>
      <c r="Q56">
        <v>-1</v>
      </c>
      <c r="R56">
        <v>-1</v>
      </c>
      <c r="S56">
        <f t="shared" si="6"/>
        <v>-1</v>
      </c>
      <c r="T56">
        <v>-1</v>
      </c>
      <c r="U56">
        <v>-1</v>
      </c>
      <c r="V56">
        <f>4423+260+408</f>
        <v>5091</v>
      </c>
      <c r="W56">
        <f>3132+89+143</f>
        <v>3364</v>
      </c>
      <c r="X56">
        <v>-2</v>
      </c>
      <c r="Y56">
        <v>-2</v>
      </c>
      <c r="Z56">
        <v>-2</v>
      </c>
      <c r="AA56">
        <v>-2</v>
      </c>
      <c r="AB56">
        <f>V56-W56</f>
        <v>1727</v>
      </c>
      <c r="AC56">
        <v>-2</v>
      </c>
      <c r="AD56">
        <v>-2</v>
      </c>
      <c r="AE56">
        <v>-2</v>
      </c>
      <c r="AF56">
        <v>-2</v>
      </c>
      <c r="AG56">
        <v>-2</v>
      </c>
      <c r="AH56">
        <v>-2</v>
      </c>
      <c r="AI56">
        <v>-2</v>
      </c>
      <c r="AJ56">
        <v>-2</v>
      </c>
      <c r="AK56">
        <v>-2</v>
      </c>
      <c r="AL56">
        <f t="shared" si="21"/>
        <v>120359</v>
      </c>
      <c r="AM56">
        <f t="shared" si="19"/>
        <v>76748</v>
      </c>
      <c r="AN56">
        <v>747</v>
      </c>
      <c r="AO56">
        <v>179</v>
      </c>
      <c r="AP56">
        <v>75822</v>
      </c>
      <c r="AQ56">
        <v>-1</v>
      </c>
      <c r="AR56">
        <f t="shared" si="23"/>
        <v>43611</v>
      </c>
      <c r="AS56">
        <f>33223+1251+2402+3421</f>
        <v>40297</v>
      </c>
      <c r="AT56">
        <f>3124+190</f>
        <v>3314</v>
      </c>
      <c r="AU56">
        <v>-2</v>
      </c>
      <c r="AV56">
        <v>-2</v>
      </c>
      <c r="AW56">
        <v>-2</v>
      </c>
      <c r="AX56">
        <v>-2</v>
      </c>
      <c r="AY56">
        <f t="shared" si="10"/>
        <v>-2</v>
      </c>
      <c r="AZ56">
        <f t="shared" si="11"/>
        <v>-2</v>
      </c>
      <c r="BA56">
        <v>-2</v>
      </c>
      <c r="BB56">
        <v>-2</v>
      </c>
      <c r="BC56">
        <v>-2</v>
      </c>
      <c r="BD56">
        <v>-2</v>
      </c>
      <c r="BE56">
        <f t="shared" si="12"/>
        <v>-2</v>
      </c>
      <c r="BF56">
        <v>-2</v>
      </c>
      <c r="BG56">
        <v>-2</v>
      </c>
      <c r="BH56">
        <v>-2</v>
      </c>
      <c r="BI56">
        <v>-2</v>
      </c>
      <c r="BJ56">
        <v>-2</v>
      </c>
      <c r="BK56">
        <v>-2</v>
      </c>
      <c r="BL56">
        <v>-2</v>
      </c>
      <c r="BM56">
        <v>-2</v>
      </c>
      <c r="BN56">
        <v>-2</v>
      </c>
      <c r="BO56">
        <v>-2</v>
      </c>
      <c r="BP56">
        <v>-2</v>
      </c>
      <c r="BQ56">
        <v>-2</v>
      </c>
      <c r="BR56">
        <v>-2</v>
      </c>
      <c r="BS56">
        <v>-2</v>
      </c>
      <c r="BT56">
        <v>-2</v>
      </c>
    </row>
    <row r="57" spans="1:72" ht="12.75">
      <c r="A57">
        <f t="shared" si="13"/>
        <v>1971</v>
      </c>
      <c r="B57" s="10" t="s">
        <v>120</v>
      </c>
      <c r="C57" s="9" t="s">
        <v>149</v>
      </c>
      <c r="D57">
        <f t="shared" si="22"/>
        <v>2194</v>
      </c>
      <c r="E57">
        <f t="shared" si="3"/>
        <v>1330</v>
      </c>
      <c r="F57">
        <v>18</v>
      </c>
      <c r="G57">
        <v>5</v>
      </c>
      <c r="H57">
        <v>1307</v>
      </c>
      <c r="I57">
        <v>-1</v>
      </c>
      <c r="J57">
        <f t="shared" si="18"/>
        <v>864</v>
      </c>
      <c r="K57">
        <f>571+25+39+113</f>
        <v>748</v>
      </c>
      <c r="L57">
        <f>106+10</f>
        <v>116</v>
      </c>
      <c r="M57">
        <f t="shared" si="4"/>
        <v>-1</v>
      </c>
      <c r="N57">
        <f t="shared" si="5"/>
        <v>-1</v>
      </c>
      <c r="O57">
        <v>-1</v>
      </c>
      <c r="P57">
        <v>-1</v>
      </c>
      <c r="Q57">
        <v>-1</v>
      </c>
      <c r="R57">
        <v>-1</v>
      </c>
      <c r="S57">
        <f t="shared" si="6"/>
        <v>-1</v>
      </c>
      <c r="T57">
        <v>-1</v>
      </c>
      <c r="U57">
        <v>-1</v>
      </c>
      <c r="V57">
        <f>4668+317+474</f>
        <v>5459</v>
      </c>
      <c r="W57">
        <f>3281+115+174</f>
        <v>3570</v>
      </c>
      <c r="X57">
        <v>-2</v>
      </c>
      <c r="Y57">
        <v>-2</v>
      </c>
      <c r="Z57">
        <v>-2</v>
      </c>
      <c r="AA57">
        <v>-2</v>
      </c>
      <c r="AB57">
        <f>V57-W57</f>
        <v>1889</v>
      </c>
      <c r="AC57">
        <v>-2</v>
      </c>
      <c r="AD57">
        <v>-2</v>
      </c>
      <c r="AE57">
        <v>-2</v>
      </c>
      <c r="AF57">
        <v>-2</v>
      </c>
      <c r="AG57">
        <v>-2</v>
      </c>
      <c r="AH57">
        <v>-2</v>
      </c>
      <c r="AI57">
        <v>-2</v>
      </c>
      <c r="AJ57">
        <v>-2</v>
      </c>
      <c r="AK57">
        <v>-2</v>
      </c>
      <c r="AL57">
        <f t="shared" si="21"/>
        <v>126641</v>
      </c>
      <c r="AM57">
        <f t="shared" si="19"/>
        <v>80945</v>
      </c>
      <c r="AN57">
        <v>860</v>
      </c>
      <c r="AO57">
        <v>140</v>
      </c>
      <c r="AP57">
        <v>79945</v>
      </c>
      <c r="AQ57">
        <v>-1</v>
      </c>
      <c r="AR57">
        <f t="shared" si="23"/>
        <v>45696</v>
      </c>
      <c r="AS57">
        <f>34230+1227+2293+3551</f>
        <v>41301</v>
      </c>
      <c r="AT57">
        <f>4071+324</f>
        <v>4395</v>
      </c>
      <c r="AU57">
        <v>-2</v>
      </c>
      <c r="AV57">
        <v>-2</v>
      </c>
      <c r="AW57">
        <v>-2</v>
      </c>
      <c r="AX57">
        <v>-2</v>
      </c>
      <c r="AY57">
        <f t="shared" si="10"/>
        <v>-2</v>
      </c>
      <c r="AZ57">
        <f t="shared" si="11"/>
        <v>-2</v>
      </c>
      <c r="BA57">
        <v>-2</v>
      </c>
      <c r="BB57">
        <v>-2</v>
      </c>
      <c r="BC57">
        <v>-2</v>
      </c>
      <c r="BD57">
        <v>-2</v>
      </c>
      <c r="BE57">
        <f t="shared" si="12"/>
        <v>-2</v>
      </c>
      <c r="BF57">
        <v>-2</v>
      </c>
      <c r="BG57">
        <v>-2</v>
      </c>
      <c r="BH57">
        <v>-2</v>
      </c>
      <c r="BI57">
        <v>-2</v>
      </c>
      <c r="BJ57">
        <v>-2</v>
      </c>
      <c r="BK57">
        <v>-2</v>
      </c>
      <c r="BL57">
        <v>-2</v>
      </c>
      <c r="BM57">
        <v>-2</v>
      </c>
      <c r="BN57">
        <v>-2</v>
      </c>
      <c r="BO57">
        <v>-2</v>
      </c>
      <c r="BP57">
        <v>-2</v>
      </c>
      <c r="BQ57">
        <v>-2</v>
      </c>
      <c r="BR57">
        <v>-2</v>
      </c>
      <c r="BS57">
        <v>-2</v>
      </c>
      <c r="BT57">
        <v>-2</v>
      </c>
    </row>
    <row r="58" spans="1:72" ht="12.75">
      <c r="A58">
        <f t="shared" si="13"/>
        <v>1972</v>
      </c>
      <c r="B58" s="10" t="s">
        <v>120</v>
      </c>
      <c r="C58" s="9" t="s">
        <v>149</v>
      </c>
      <c r="D58">
        <f t="shared" si="22"/>
        <v>2236</v>
      </c>
      <c r="E58">
        <f t="shared" si="3"/>
        <v>1399</v>
      </c>
      <c r="F58">
        <v>22</v>
      </c>
      <c r="G58">
        <v>21</v>
      </c>
      <c r="H58">
        <v>1356</v>
      </c>
      <c r="I58">
        <v>-1</v>
      </c>
      <c r="J58">
        <f t="shared" si="18"/>
        <v>837</v>
      </c>
      <c r="K58">
        <f>566+24+42+93</f>
        <v>725</v>
      </c>
      <c r="L58">
        <f>107+5</f>
        <v>112</v>
      </c>
      <c r="M58">
        <f t="shared" si="4"/>
        <v>-1</v>
      </c>
      <c r="N58">
        <f t="shared" si="5"/>
        <v>-1</v>
      </c>
      <c r="O58">
        <v>-1</v>
      </c>
      <c r="P58">
        <v>-1</v>
      </c>
      <c r="Q58">
        <v>-1</v>
      </c>
      <c r="R58">
        <v>-1</v>
      </c>
      <c r="S58">
        <f t="shared" si="6"/>
        <v>-1</v>
      </c>
      <c r="T58">
        <v>-1</v>
      </c>
      <c r="U58">
        <v>-1</v>
      </c>
      <c r="V58">
        <f>W58+AB58</f>
        <v>5600</v>
      </c>
      <c r="W58">
        <f>2940+125+566</f>
        <v>3631</v>
      </c>
      <c r="X58">
        <v>-2</v>
      </c>
      <c r="Y58">
        <v>-2</v>
      </c>
      <c r="Z58">
        <v>-2</v>
      </c>
      <c r="AA58">
        <v>-2</v>
      </c>
      <c r="AB58">
        <f>1392+165+412</f>
        <v>1969</v>
      </c>
      <c r="AC58">
        <v>-2</v>
      </c>
      <c r="AD58">
        <v>-2</v>
      </c>
      <c r="AE58">
        <v>-2</v>
      </c>
      <c r="AF58">
        <v>-2</v>
      </c>
      <c r="AG58">
        <v>-2</v>
      </c>
      <c r="AH58">
        <v>-2</v>
      </c>
      <c r="AI58">
        <f>4081+241+827</f>
        <v>5149</v>
      </c>
      <c r="AJ58">
        <f>251+49+151</f>
        <v>451</v>
      </c>
      <c r="AK58">
        <v>-2</v>
      </c>
      <c r="AL58">
        <f aca="true" t="shared" si="24" ref="AL58:AL84">IF(OR(AM58=-2,AR58=-2),-2,IF(OR(AM58=-1,AR58=-1),MAX(AM58,AR58),SUM(AM58+AR58)))</f>
        <v>133406</v>
      </c>
      <c r="AM58">
        <f aca="true" t="shared" si="25" ref="AM58:AM84">IF(OR(AN58&gt;=0,AO58&gt;=0,AP58&gt;=0,AQ58&gt;=0),SUMIF(AN58:AQ58,"&gt;=0",AN58:AQ58),MIN(AN58:AQ58))</f>
        <v>86775</v>
      </c>
      <c r="AN58">
        <v>1026</v>
      </c>
      <c r="AO58">
        <v>739</v>
      </c>
      <c r="AP58">
        <v>85010</v>
      </c>
      <c r="AQ58">
        <v>-1</v>
      </c>
      <c r="AR58">
        <f t="shared" si="23"/>
        <v>46631</v>
      </c>
      <c r="AS58">
        <f>2254+4401+34104+1236</f>
        <v>41995</v>
      </c>
      <c r="AT58">
        <f>4346+290</f>
        <v>4636</v>
      </c>
      <c r="AU58">
        <v>5</v>
      </c>
      <c r="AV58">
        <f>376+16785+41334+56324+17906</f>
        <v>132725</v>
      </c>
      <c r="AW58">
        <f>588+41+17+14+6</f>
        <v>666</v>
      </c>
      <c r="AX58">
        <f>6+2+2</f>
        <v>10</v>
      </c>
      <c r="AY58">
        <f t="shared" si="10"/>
        <v>-2</v>
      </c>
      <c r="AZ58">
        <f t="shared" si="11"/>
        <v>-2</v>
      </c>
      <c r="BA58">
        <v>-2</v>
      </c>
      <c r="BB58">
        <v>-2</v>
      </c>
      <c r="BC58">
        <v>-2</v>
      </c>
      <c r="BD58">
        <v>-2</v>
      </c>
      <c r="BE58">
        <f t="shared" si="12"/>
        <v>-2</v>
      </c>
      <c r="BF58">
        <v>-2</v>
      </c>
      <c r="BG58">
        <v>-2</v>
      </c>
      <c r="BH58">
        <v>-2</v>
      </c>
      <c r="BI58">
        <v>-2</v>
      </c>
      <c r="BJ58">
        <v>-2</v>
      </c>
      <c r="BK58">
        <v>-2</v>
      </c>
      <c r="BL58">
        <v>-2</v>
      </c>
      <c r="BM58">
        <v>-2</v>
      </c>
      <c r="BN58">
        <v>-2</v>
      </c>
      <c r="BO58">
        <v>-2</v>
      </c>
      <c r="BP58">
        <v>-2</v>
      </c>
      <c r="BQ58">
        <v>-2</v>
      </c>
      <c r="BR58">
        <v>-2</v>
      </c>
      <c r="BS58">
        <v>-2</v>
      </c>
      <c r="BT58">
        <v>-2</v>
      </c>
    </row>
    <row r="59" spans="1:72" ht="12.75">
      <c r="A59">
        <f t="shared" si="13"/>
        <v>1973</v>
      </c>
      <c r="B59" s="10" t="s">
        <v>120</v>
      </c>
      <c r="C59" s="9" t="s">
        <v>149</v>
      </c>
      <c r="D59">
        <f t="shared" si="22"/>
        <v>2421</v>
      </c>
      <c r="E59">
        <f t="shared" si="3"/>
        <v>1509</v>
      </c>
      <c r="F59">
        <v>21</v>
      </c>
      <c r="G59">
        <v>9</v>
      </c>
      <c r="H59">
        <v>1479</v>
      </c>
      <c r="I59">
        <v>-1</v>
      </c>
      <c r="J59">
        <f t="shared" si="18"/>
        <v>912</v>
      </c>
      <c r="K59">
        <f>46+120+592+28</f>
        <v>786</v>
      </c>
      <c r="L59">
        <f>124+2</f>
        <v>126</v>
      </c>
      <c r="M59">
        <f t="shared" si="4"/>
        <v>-1</v>
      </c>
      <c r="N59">
        <f t="shared" si="5"/>
        <v>-1</v>
      </c>
      <c r="O59">
        <v>-1</v>
      </c>
      <c r="P59">
        <v>-1</v>
      </c>
      <c r="Q59">
        <v>-1</v>
      </c>
      <c r="R59">
        <v>-1</v>
      </c>
      <c r="S59">
        <f t="shared" si="6"/>
        <v>-1</v>
      </c>
      <c r="T59">
        <v>-1</v>
      </c>
      <c r="U59">
        <v>-1</v>
      </c>
      <c r="V59">
        <f>W59+AB59</f>
        <v>6097</v>
      </c>
      <c r="W59">
        <f>3162+125+676</f>
        <v>3963</v>
      </c>
      <c r="X59">
        <v>-2</v>
      </c>
      <c r="Y59">
        <v>-2</v>
      </c>
      <c r="Z59">
        <v>-2</v>
      </c>
      <c r="AA59">
        <v>-2</v>
      </c>
      <c r="AB59">
        <f>1512+174+448</f>
        <v>2134</v>
      </c>
      <c r="AC59">
        <v>-2</v>
      </c>
      <c r="AD59">
        <v>-2</v>
      </c>
      <c r="AE59">
        <v>-2</v>
      </c>
      <c r="AF59">
        <v>-2</v>
      </c>
      <c r="AG59">
        <v>-2</v>
      </c>
      <c r="AH59">
        <v>-2</v>
      </c>
      <c r="AI59">
        <f>4346+252+897</f>
        <v>5495</v>
      </c>
      <c r="AJ59">
        <f>328+47+227</f>
        <v>602</v>
      </c>
      <c r="AK59">
        <v>-2</v>
      </c>
      <c r="AL59">
        <f t="shared" si="24"/>
        <v>141103</v>
      </c>
      <c r="AM59">
        <f t="shared" si="25"/>
        <v>90994</v>
      </c>
      <c r="AN59">
        <v>986</v>
      </c>
      <c r="AO59">
        <v>201</v>
      </c>
      <c r="AP59">
        <v>89807</v>
      </c>
      <c r="AQ59">
        <v>-1</v>
      </c>
      <c r="AR59">
        <f t="shared" si="23"/>
        <v>50109</v>
      </c>
      <c r="AS59">
        <f>2285+5517+35858+1345</f>
        <v>45005</v>
      </c>
      <c r="AT59">
        <f>5030+74</f>
        <v>5104</v>
      </c>
      <c r="AU59">
        <v>5</v>
      </c>
      <c r="AV59">
        <f>673+16448+41857+61891+19445</f>
        <v>140314</v>
      </c>
      <c r="AW59">
        <f>665+72+10+12</f>
        <v>759</v>
      </c>
      <c r="AX59">
        <f>12+8+2+3</f>
        <v>25</v>
      </c>
      <c r="AY59">
        <f t="shared" si="10"/>
        <v>-2</v>
      </c>
      <c r="AZ59">
        <f t="shared" si="11"/>
        <v>-2</v>
      </c>
      <c r="BA59">
        <v>-2</v>
      </c>
      <c r="BB59">
        <v>-2</v>
      </c>
      <c r="BC59">
        <v>-2</v>
      </c>
      <c r="BD59">
        <v>-2</v>
      </c>
      <c r="BE59">
        <f t="shared" si="12"/>
        <v>-2</v>
      </c>
      <c r="BF59">
        <v>-2</v>
      </c>
      <c r="BG59">
        <v>-2</v>
      </c>
      <c r="BH59">
        <v>-2</v>
      </c>
      <c r="BI59">
        <v>-2</v>
      </c>
      <c r="BJ59">
        <v>-2</v>
      </c>
      <c r="BK59">
        <v>-2</v>
      </c>
      <c r="BL59">
        <v>-2</v>
      </c>
      <c r="BM59">
        <v>-2</v>
      </c>
      <c r="BN59">
        <v>-2</v>
      </c>
      <c r="BO59">
        <v>-2</v>
      </c>
      <c r="BP59">
        <v>-2</v>
      </c>
      <c r="BQ59">
        <v>-2</v>
      </c>
      <c r="BR59">
        <v>-2</v>
      </c>
      <c r="BS59">
        <v>-2</v>
      </c>
      <c r="BT59">
        <v>-2</v>
      </c>
    </row>
    <row r="60" spans="1:72" ht="12.75">
      <c r="A60">
        <f t="shared" si="13"/>
        <v>1974</v>
      </c>
      <c r="B60" s="10" t="s">
        <v>120</v>
      </c>
      <c r="C60" s="9" t="s">
        <v>149</v>
      </c>
      <c r="D60">
        <f aca="true" t="shared" si="26" ref="D60:D84">IF(OR(E60=-2,J60=-2),-2,IF(OR(E60=-1,J60=-1),MAX(E60,J60),SUM(E60+J60)))</f>
        <v>2647</v>
      </c>
      <c r="E60">
        <f t="shared" si="3"/>
        <v>1706</v>
      </c>
      <c r="F60">
        <v>26</v>
      </c>
      <c r="G60">
        <v>12</v>
      </c>
      <c r="H60">
        <v>1668</v>
      </c>
      <c r="I60">
        <v>-1</v>
      </c>
      <c r="J60">
        <f t="shared" si="18"/>
        <v>941</v>
      </c>
      <c r="K60">
        <f>54+133+592+28</f>
        <v>807</v>
      </c>
      <c r="L60">
        <f>132+2</f>
        <v>134</v>
      </c>
      <c r="M60">
        <f t="shared" si="4"/>
        <v>-1</v>
      </c>
      <c r="N60">
        <f t="shared" si="5"/>
        <v>-1</v>
      </c>
      <c r="O60">
        <v>-1</v>
      </c>
      <c r="P60">
        <v>-1</v>
      </c>
      <c r="Q60">
        <v>-1</v>
      </c>
      <c r="R60">
        <v>-1</v>
      </c>
      <c r="S60">
        <f t="shared" si="6"/>
        <v>-1</v>
      </c>
      <c r="T60">
        <v>-1</v>
      </c>
      <c r="U60">
        <v>-1</v>
      </c>
      <c r="V60">
        <f>W60+AB60</f>
        <v>5962</v>
      </c>
      <c r="W60">
        <f>3486+125+289</f>
        <v>3900</v>
      </c>
      <c r="X60">
        <v>-2</v>
      </c>
      <c r="Y60">
        <v>-2</v>
      </c>
      <c r="Z60">
        <v>-2</v>
      </c>
      <c r="AA60">
        <v>-2</v>
      </c>
      <c r="AB60">
        <f>1597+183+282</f>
        <v>2062</v>
      </c>
      <c r="AC60">
        <v>-2</v>
      </c>
      <c r="AD60">
        <v>-2</v>
      </c>
      <c r="AE60">
        <v>-2</v>
      </c>
      <c r="AF60">
        <v>-2</v>
      </c>
      <c r="AG60">
        <v>-2</v>
      </c>
      <c r="AH60">
        <v>-2</v>
      </c>
      <c r="AI60">
        <f>4767+256+438</f>
        <v>5461</v>
      </c>
      <c r="AJ60">
        <f>316+52+133</f>
        <v>501</v>
      </c>
      <c r="AK60">
        <v>-2</v>
      </c>
      <c r="AL60">
        <f t="shared" si="24"/>
        <v>148221</v>
      </c>
      <c r="AM60">
        <f t="shared" si="25"/>
        <v>97600</v>
      </c>
      <c r="AN60">
        <v>1230</v>
      </c>
      <c r="AO60">
        <v>308</v>
      </c>
      <c r="AP60">
        <v>96062</v>
      </c>
      <c r="AQ60">
        <v>-1</v>
      </c>
      <c r="AR60">
        <f t="shared" si="23"/>
        <v>50621</v>
      </c>
      <c r="AS60">
        <f>2501+5959+35506+1343</f>
        <v>45309</v>
      </c>
      <c r="AT60">
        <f>5211+101</f>
        <v>5312</v>
      </c>
      <c r="AU60">
        <f>2+20</f>
        <v>22</v>
      </c>
      <c r="AV60">
        <f>660+17739+42756+65270+21029</f>
        <v>147454</v>
      </c>
      <c r="AW60">
        <f>656+58+9+7</f>
        <v>730</v>
      </c>
      <c r="AX60">
        <f>3+6+4+4</f>
        <v>17</v>
      </c>
      <c r="AY60">
        <f t="shared" si="10"/>
        <v>-2</v>
      </c>
      <c r="AZ60">
        <f t="shared" si="11"/>
        <v>-2</v>
      </c>
      <c r="BA60">
        <v>-2</v>
      </c>
      <c r="BB60">
        <v>-2</v>
      </c>
      <c r="BC60">
        <v>-2</v>
      </c>
      <c r="BD60">
        <v>-2</v>
      </c>
      <c r="BE60">
        <f t="shared" si="12"/>
        <v>-2</v>
      </c>
      <c r="BF60">
        <v>-2</v>
      </c>
      <c r="BG60">
        <v>-2</v>
      </c>
      <c r="BH60">
        <v>-2</v>
      </c>
      <c r="BI60">
        <v>-2</v>
      </c>
      <c r="BJ60">
        <v>-2</v>
      </c>
      <c r="BK60">
        <v>-2</v>
      </c>
      <c r="BL60">
        <v>-2</v>
      </c>
      <c r="BM60">
        <v>-2</v>
      </c>
      <c r="BN60">
        <v>-2</v>
      </c>
      <c r="BO60">
        <v>-2</v>
      </c>
      <c r="BP60">
        <v>-2</v>
      </c>
      <c r="BQ60">
        <v>-2</v>
      </c>
      <c r="BR60">
        <v>-2</v>
      </c>
      <c r="BS60">
        <v>-2</v>
      </c>
      <c r="BT60">
        <v>-2</v>
      </c>
    </row>
    <row r="61" spans="1:72" ht="12.75">
      <c r="A61">
        <f t="shared" si="13"/>
        <v>1975</v>
      </c>
      <c r="B61" s="10" t="s">
        <v>120</v>
      </c>
      <c r="C61" s="9" t="s">
        <v>149</v>
      </c>
      <c r="D61">
        <f t="shared" si="26"/>
        <v>2882</v>
      </c>
      <c r="E61">
        <f t="shared" si="3"/>
        <v>1903</v>
      </c>
      <c r="F61">
        <v>23</v>
      </c>
      <c r="G61">
        <v>17</v>
      </c>
      <c r="H61">
        <v>1863</v>
      </c>
      <c r="I61">
        <v>-1</v>
      </c>
      <c r="J61">
        <f t="shared" si="18"/>
        <v>979</v>
      </c>
      <c r="K61">
        <f>48+153+614+28</f>
        <v>843</v>
      </c>
      <c r="L61">
        <f>128+8</f>
        <v>136</v>
      </c>
      <c r="M61">
        <f t="shared" si="4"/>
        <v>-1</v>
      </c>
      <c r="N61">
        <f t="shared" si="5"/>
        <v>-1</v>
      </c>
      <c r="O61">
        <v>-1</v>
      </c>
      <c r="P61">
        <v>-1</v>
      </c>
      <c r="Q61">
        <v>-1</v>
      </c>
      <c r="R61">
        <v>-1</v>
      </c>
      <c r="S61">
        <f t="shared" si="6"/>
        <v>-1</v>
      </c>
      <c r="T61">
        <v>-1</v>
      </c>
      <c r="U61">
        <v>-1</v>
      </c>
      <c r="V61">
        <f>5578+243+1153</f>
        <v>6974</v>
      </c>
      <c r="W61">
        <f>3921+93+665</f>
        <v>4679</v>
      </c>
      <c r="X61">
        <v>-2</v>
      </c>
      <c r="Y61">
        <v>-2</v>
      </c>
      <c r="Z61">
        <v>-2</v>
      </c>
      <c r="AA61">
        <v>-2</v>
      </c>
      <c r="AB61">
        <f>V61-W61</f>
        <v>2295</v>
      </c>
      <c r="AC61">
        <v>-2</v>
      </c>
      <c r="AD61">
        <v>-2</v>
      </c>
      <c r="AE61">
        <v>-2</v>
      </c>
      <c r="AF61">
        <v>-2</v>
      </c>
      <c r="AG61">
        <v>-2</v>
      </c>
      <c r="AH61">
        <v>-2</v>
      </c>
      <c r="AI61">
        <f>5273+198+938</f>
        <v>6409</v>
      </c>
      <c r="AJ61">
        <f>305+45+215</f>
        <v>565</v>
      </c>
      <c r="AK61">
        <v>-2</v>
      </c>
      <c r="AL61">
        <f t="shared" si="24"/>
        <v>154318</v>
      </c>
      <c r="AM61">
        <f t="shared" si="25"/>
        <v>103634</v>
      </c>
      <c r="AN61">
        <v>1144</v>
      </c>
      <c r="AO61">
        <v>578</v>
      </c>
      <c r="AP61">
        <v>101912</v>
      </c>
      <c r="AQ61">
        <v>-1</v>
      </c>
      <c r="AR61">
        <f t="shared" si="23"/>
        <v>50684</v>
      </c>
      <c r="AS61">
        <f>2285+6674+35501+1268</f>
        <v>45728</v>
      </c>
      <c r="AT61">
        <f>4646+310</f>
        <v>4956</v>
      </c>
      <c r="AU61">
        <f>3+34</f>
        <v>37</v>
      </c>
      <c r="AV61">
        <f>892+19153+46043+65249+22015</f>
        <v>153352</v>
      </c>
      <c r="AW61">
        <f>781+73+35+11</f>
        <v>900</v>
      </c>
      <c r="AX61">
        <f>7+7+9+6</f>
        <v>29</v>
      </c>
      <c r="AY61">
        <f t="shared" si="10"/>
        <v>-2</v>
      </c>
      <c r="AZ61">
        <f t="shared" si="11"/>
        <v>-2</v>
      </c>
      <c r="BA61">
        <v>-2</v>
      </c>
      <c r="BB61">
        <v>-2</v>
      </c>
      <c r="BC61">
        <v>-2</v>
      </c>
      <c r="BD61">
        <v>-2</v>
      </c>
      <c r="BE61">
        <f t="shared" si="12"/>
        <v>-2</v>
      </c>
      <c r="BF61">
        <v>-2</v>
      </c>
      <c r="BG61">
        <v>-2</v>
      </c>
      <c r="BH61">
        <v>-2</v>
      </c>
      <c r="BI61">
        <v>-2</v>
      </c>
      <c r="BJ61">
        <v>-2</v>
      </c>
      <c r="BK61">
        <v>-2</v>
      </c>
      <c r="BL61">
        <v>-2</v>
      </c>
      <c r="BM61">
        <v>-2</v>
      </c>
      <c r="BN61">
        <v>-2</v>
      </c>
      <c r="BO61">
        <v>-2</v>
      </c>
      <c r="BP61">
        <v>-2</v>
      </c>
      <c r="BQ61">
        <v>-2</v>
      </c>
      <c r="BR61">
        <v>-2</v>
      </c>
      <c r="BS61">
        <v>-2</v>
      </c>
      <c r="BT61">
        <v>-2</v>
      </c>
    </row>
    <row r="62" spans="1:72" ht="12.75">
      <c r="A62">
        <f t="shared" si="13"/>
        <v>1976</v>
      </c>
      <c r="B62" s="10" t="s">
        <v>120</v>
      </c>
      <c r="C62" s="9" t="s">
        <v>149</v>
      </c>
      <c r="D62">
        <f t="shared" si="26"/>
        <v>3034</v>
      </c>
      <c r="E62">
        <f t="shared" si="3"/>
        <v>2039</v>
      </c>
      <c r="F62">
        <v>24</v>
      </c>
      <c r="G62">
        <v>11</v>
      </c>
      <c r="H62">
        <v>2004</v>
      </c>
      <c r="I62">
        <v>-1</v>
      </c>
      <c r="J62">
        <f t="shared" si="18"/>
        <v>995</v>
      </c>
      <c r="K62">
        <f>50+162+625+27</f>
        <v>864</v>
      </c>
      <c r="L62">
        <f>124+7</f>
        <v>131</v>
      </c>
      <c r="M62">
        <f t="shared" si="4"/>
        <v>-1</v>
      </c>
      <c r="N62">
        <f t="shared" si="5"/>
        <v>-1</v>
      </c>
      <c r="O62">
        <v>-1</v>
      </c>
      <c r="P62">
        <v>-1</v>
      </c>
      <c r="Q62">
        <v>-1</v>
      </c>
      <c r="R62">
        <v>-1</v>
      </c>
      <c r="S62">
        <f t="shared" si="6"/>
        <v>-1</v>
      </c>
      <c r="T62">
        <v>-1</v>
      </c>
      <c r="U62">
        <v>-1</v>
      </c>
      <c r="V62">
        <f>5989+244+388</f>
        <v>6621</v>
      </c>
      <c r="W62">
        <f>4197+130+214</f>
        <v>4541</v>
      </c>
      <c r="X62">
        <v>-2</v>
      </c>
      <c r="Y62">
        <v>-2</v>
      </c>
      <c r="Z62">
        <v>-2</v>
      </c>
      <c r="AA62">
        <v>-2</v>
      </c>
      <c r="AB62">
        <f>V62-W62</f>
        <v>2080</v>
      </c>
      <c r="AC62">
        <v>-2</v>
      </c>
      <c r="AD62">
        <v>-2</v>
      </c>
      <c r="AE62">
        <v>-2</v>
      </c>
      <c r="AF62">
        <v>-2</v>
      </c>
      <c r="AG62">
        <v>-2</v>
      </c>
      <c r="AH62">
        <v>-2</v>
      </c>
      <c r="AI62">
        <f>5609+205+309</f>
        <v>6123</v>
      </c>
      <c r="AJ62">
        <f>380+39+79</f>
        <v>498</v>
      </c>
      <c r="AK62">
        <v>-2</v>
      </c>
      <c r="AL62">
        <f t="shared" si="24"/>
        <v>156278</v>
      </c>
      <c r="AM62">
        <f t="shared" si="25"/>
        <v>106367</v>
      </c>
      <c r="AN62">
        <v>1127</v>
      </c>
      <c r="AO62">
        <v>257</v>
      </c>
      <c r="AP62">
        <v>104983</v>
      </c>
      <c r="AQ62">
        <v>-1</v>
      </c>
      <c r="AR62">
        <f t="shared" si="23"/>
        <v>49911</v>
      </c>
      <c r="AS62">
        <f>2258+6763+34869+1244</f>
        <v>45134</v>
      </c>
      <c r="AT62">
        <f>4499+278</f>
        <v>4777</v>
      </c>
      <c r="AU62">
        <f>1+34</f>
        <v>35</v>
      </c>
      <c r="AV62">
        <f>1027+20216+47299+65979+20660</f>
        <v>155181</v>
      </c>
      <c r="AW62">
        <f>813+121+61+25+13</f>
        <v>1033</v>
      </c>
      <c r="AX62">
        <f>9+11+9</f>
        <v>29</v>
      </c>
      <c r="AY62">
        <f t="shared" si="10"/>
        <v>-2</v>
      </c>
      <c r="AZ62">
        <f t="shared" si="11"/>
        <v>-2</v>
      </c>
      <c r="BA62">
        <v>-2</v>
      </c>
      <c r="BB62">
        <v>-2</v>
      </c>
      <c r="BC62">
        <v>-2</v>
      </c>
      <c r="BD62">
        <v>-2</v>
      </c>
      <c r="BE62">
        <f t="shared" si="12"/>
        <v>-2</v>
      </c>
      <c r="BF62">
        <v>-2</v>
      </c>
      <c r="BG62">
        <v>-2</v>
      </c>
      <c r="BH62">
        <v>-2</v>
      </c>
      <c r="BI62">
        <v>-2</v>
      </c>
      <c r="BJ62">
        <v>-2</v>
      </c>
      <c r="BK62">
        <v>-2</v>
      </c>
      <c r="BL62">
        <v>-2</v>
      </c>
      <c r="BM62">
        <v>-2</v>
      </c>
      <c r="BN62">
        <v>-2</v>
      </c>
      <c r="BO62">
        <v>-2</v>
      </c>
      <c r="BP62">
        <v>-2</v>
      </c>
      <c r="BQ62">
        <v>-2</v>
      </c>
      <c r="BR62">
        <v>-2</v>
      </c>
      <c r="BS62">
        <v>-2</v>
      </c>
      <c r="BT62">
        <v>-2</v>
      </c>
    </row>
    <row r="63" spans="1:72" ht="12.75">
      <c r="A63">
        <f t="shared" si="13"/>
        <v>1977</v>
      </c>
      <c r="B63" s="10" t="s">
        <v>120</v>
      </c>
      <c r="C63" s="9" t="s">
        <v>149</v>
      </c>
      <c r="D63">
        <f t="shared" si="26"/>
        <v>3189</v>
      </c>
      <c r="E63">
        <f t="shared" si="3"/>
        <v>2193</v>
      </c>
      <c r="F63">
        <v>24</v>
      </c>
      <c r="G63">
        <v>25</v>
      </c>
      <c r="H63">
        <v>2144</v>
      </c>
      <c r="I63">
        <v>-1</v>
      </c>
      <c r="J63">
        <f t="shared" si="18"/>
        <v>996</v>
      </c>
      <c r="K63">
        <f>41+173+626+26</f>
        <v>866</v>
      </c>
      <c r="L63">
        <f>113+17</f>
        <v>130</v>
      </c>
      <c r="M63">
        <f t="shared" si="4"/>
        <v>-1</v>
      </c>
      <c r="N63">
        <f t="shared" si="5"/>
        <v>-1</v>
      </c>
      <c r="O63">
        <v>-1</v>
      </c>
      <c r="P63">
        <v>-1</v>
      </c>
      <c r="Q63">
        <v>-1</v>
      </c>
      <c r="R63">
        <v>-1</v>
      </c>
      <c r="S63">
        <f t="shared" si="6"/>
        <v>-1</v>
      </c>
      <c r="T63">
        <v>-1</v>
      </c>
      <c r="U63">
        <v>-1</v>
      </c>
      <c r="V63">
        <f>6497+185+309</f>
        <v>6991</v>
      </c>
      <c r="W63">
        <f>4609+67+136</f>
        <v>4812</v>
      </c>
      <c r="X63">
        <v>-2</v>
      </c>
      <c r="Y63">
        <v>-2</v>
      </c>
      <c r="Z63">
        <v>-2</v>
      </c>
      <c r="AA63">
        <v>-2</v>
      </c>
      <c r="AB63">
        <f>V63-W63</f>
        <v>2179</v>
      </c>
      <c r="AC63">
        <v>-2</v>
      </c>
      <c r="AD63">
        <v>-2</v>
      </c>
      <c r="AE63">
        <v>-2</v>
      </c>
      <c r="AF63">
        <v>-2</v>
      </c>
      <c r="AG63">
        <v>-2</v>
      </c>
      <c r="AH63">
        <v>-2</v>
      </c>
      <c r="AI63">
        <f>6033+134+216</f>
        <v>6383</v>
      </c>
      <c r="AJ63">
        <f>464+51+93</f>
        <v>608</v>
      </c>
      <c r="AK63">
        <v>-2</v>
      </c>
      <c r="AL63">
        <f t="shared" si="24"/>
        <v>160081</v>
      </c>
      <c r="AM63">
        <f t="shared" si="25"/>
        <v>110292</v>
      </c>
      <c r="AN63">
        <v>1089</v>
      </c>
      <c r="AO63">
        <v>949</v>
      </c>
      <c r="AP63">
        <v>108254</v>
      </c>
      <c r="AQ63">
        <v>-1</v>
      </c>
      <c r="AR63">
        <f t="shared" si="23"/>
        <v>49789</v>
      </c>
      <c r="AS63">
        <f>1856+6544+34616+1227</f>
        <v>44243</v>
      </c>
      <c r="AT63">
        <f>4816+730</f>
        <v>5546</v>
      </c>
      <c r="AU63">
        <v>19</v>
      </c>
      <c r="AV63">
        <f>1079+22667+47627+67369+20310</f>
        <v>159052</v>
      </c>
      <c r="AW63">
        <f>795+96+44+20+18</f>
        <v>973</v>
      </c>
      <c r="AX63">
        <f>15+7+15</f>
        <v>37</v>
      </c>
      <c r="AY63">
        <f t="shared" si="10"/>
        <v>-2</v>
      </c>
      <c r="AZ63">
        <f t="shared" si="11"/>
        <v>-2</v>
      </c>
      <c r="BA63">
        <v>-2</v>
      </c>
      <c r="BB63">
        <v>-2</v>
      </c>
      <c r="BC63">
        <v>-2</v>
      </c>
      <c r="BD63">
        <v>-2</v>
      </c>
      <c r="BE63">
        <f t="shared" si="12"/>
        <v>-2</v>
      </c>
      <c r="BF63">
        <v>-2</v>
      </c>
      <c r="BG63">
        <v>-2</v>
      </c>
      <c r="BH63">
        <v>-2</v>
      </c>
      <c r="BI63">
        <v>-2</v>
      </c>
      <c r="BJ63">
        <v>-2</v>
      </c>
      <c r="BK63">
        <v>-2</v>
      </c>
      <c r="BL63">
        <v>-2</v>
      </c>
      <c r="BM63">
        <v>-2</v>
      </c>
      <c r="BN63">
        <v>-2</v>
      </c>
      <c r="BO63">
        <v>-2</v>
      </c>
      <c r="BP63">
        <v>-2</v>
      </c>
      <c r="BQ63">
        <v>-2</v>
      </c>
      <c r="BR63">
        <v>-2</v>
      </c>
      <c r="BS63">
        <v>-2</v>
      </c>
      <c r="BT63">
        <v>-2</v>
      </c>
    </row>
    <row r="64" spans="1:72" ht="12.75">
      <c r="A64">
        <f t="shared" si="13"/>
        <v>1978</v>
      </c>
      <c r="B64" s="10" t="s">
        <v>120</v>
      </c>
      <c r="C64" s="9" t="s">
        <v>149</v>
      </c>
      <c r="D64">
        <f t="shared" si="26"/>
        <v>3360</v>
      </c>
      <c r="E64">
        <f t="shared" si="3"/>
        <v>2326</v>
      </c>
      <c r="F64">
        <v>25</v>
      </c>
      <c r="G64">
        <v>748</v>
      </c>
      <c r="H64">
        <v>1553</v>
      </c>
      <c r="I64">
        <v>-1</v>
      </c>
      <c r="J64">
        <f t="shared" si="18"/>
        <v>1034</v>
      </c>
      <c r="K64">
        <f>42+173+649+29</f>
        <v>893</v>
      </c>
      <c r="L64">
        <f>134+7</f>
        <v>141</v>
      </c>
      <c r="M64">
        <f t="shared" si="4"/>
        <v>-1</v>
      </c>
      <c r="N64">
        <f t="shared" si="5"/>
        <v>-1</v>
      </c>
      <c r="O64">
        <v>-1</v>
      </c>
      <c r="P64">
        <v>-1</v>
      </c>
      <c r="Q64">
        <v>-1</v>
      </c>
      <c r="R64">
        <v>-1</v>
      </c>
      <c r="S64">
        <f t="shared" si="6"/>
        <v>-1</v>
      </c>
      <c r="T64">
        <v>-1</v>
      </c>
      <c r="U64">
        <v>-1</v>
      </c>
      <c r="V64">
        <f>6860+163+216</f>
        <v>7239</v>
      </c>
      <c r="W64">
        <f>4880+68+92</f>
        <v>5040</v>
      </c>
      <c r="X64">
        <v>-2</v>
      </c>
      <c r="Y64">
        <v>-2</v>
      </c>
      <c r="Z64">
        <v>-2</v>
      </c>
      <c r="AA64">
        <v>-2</v>
      </c>
      <c r="AB64">
        <f aca="true" t="shared" si="27" ref="AB64:AB82">V64-W64</f>
        <v>2199</v>
      </c>
      <c r="AC64">
        <v>-2</v>
      </c>
      <c r="AD64">
        <v>-2</v>
      </c>
      <c r="AE64">
        <v>-2</v>
      </c>
      <c r="AF64">
        <v>-2</v>
      </c>
      <c r="AG64">
        <v>-2</v>
      </c>
      <c r="AH64">
        <v>-2</v>
      </c>
      <c r="AI64">
        <f>6365+115+161</f>
        <v>6641</v>
      </c>
      <c r="AJ64">
        <f>495+48+55</f>
        <v>598</v>
      </c>
      <c r="AK64">
        <v>-2</v>
      </c>
      <c r="AL64">
        <f t="shared" si="24"/>
        <v>161711</v>
      </c>
      <c r="AM64">
        <f t="shared" si="25"/>
        <v>112789</v>
      </c>
      <c r="AN64">
        <v>1110</v>
      </c>
      <c r="AO64">
        <v>34451</v>
      </c>
      <c r="AP64">
        <v>77228</v>
      </c>
      <c r="AQ64">
        <v>-1</v>
      </c>
      <c r="AR64">
        <f t="shared" si="23"/>
        <v>48922</v>
      </c>
      <c r="AS64">
        <f>1752+6418+34784+1227</f>
        <v>44181</v>
      </c>
      <c r="AT64">
        <f>4494+247</f>
        <v>4741</v>
      </c>
      <c r="AU64">
        <f>34+65</f>
        <v>99</v>
      </c>
      <c r="AV64">
        <f>977+23014+50047+66297+20402</f>
        <v>160737</v>
      </c>
      <c r="AW64">
        <f>662+92+30+29+18</f>
        <v>831</v>
      </c>
      <c r="AX64">
        <f>15+13+16</f>
        <v>44</v>
      </c>
      <c r="AY64">
        <f t="shared" si="10"/>
        <v>-2</v>
      </c>
      <c r="AZ64">
        <f t="shared" si="11"/>
        <v>-2</v>
      </c>
      <c r="BA64">
        <v>-2</v>
      </c>
      <c r="BB64">
        <v>-2</v>
      </c>
      <c r="BC64">
        <v>-2</v>
      </c>
      <c r="BD64">
        <v>-2</v>
      </c>
      <c r="BE64">
        <f t="shared" si="12"/>
        <v>-2</v>
      </c>
      <c r="BF64">
        <v>-2</v>
      </c>
      <c r="BG64">
        <v>-2</v>
      </c>
      <c r="BH64">
        <v>-2</v>
      </c>
      <c r="BI64">
        <v>-2</v>
      </c>
      <c r="BJ64">
        <v>-2</v>
      </c>
      <c r="BK64">
        <v>-2</v>
      </c>
      <c r="BL64">
        <v>-2</v>
      </c>
      <c r="BM64">
        <v>-2</v>
      </c>
      <c r="BN64">
        <v>-2</v>
      </c>
      <c r="BO64">
        <v>-2</v>
      </c>
      <c r="BP64">
        <v>-2</v>
      </c>
      <c r="BQ64">
        <v>-2</v>
      </c>
      <c r="BR64">
        <v>-2</v>
      </c>
      <c r="BS64">
        <v>-2</v>
      </c>
      <c r="BT64">
        <v>-2</v>
      </c>
    </row>
    <row r="65" spans="1:72" ht="12.75">
      <c r="A65">
        <f t="shared" si="13"/>
        <v>1979</v>
      </c>
      <c r="B65" s="10" t="s">
        <v>120</v>
      </c>
      <c r="C65" s="9" t="s">
        <v>149</v>
      </c>
      <c r="D65">
        <f t="shared" si="26"/>
        <v>3448</v>
      </c>
      <c r="E65">
        <f t="shared" si="3"/>
        <v>2416</v>
      </c>
      <c r="F65">
        <v>25</v>
      </c>
      <c r="G65">
        <v>766</v>
      </c>
      <c r="H65">
        <v>1625</v>
      </c>
      <c r="I65">
        <v>-1</v>
      </c>
      <c r="J65">
        <f t="shared" si="18"/>
        <v>1032</v>
      </c>
      <c r="K65">
        <f>41+184+644+27</f>
        <v>896</v>
      </c>
      <c r="L65">
        <f>129+7</f>
        <v>136</v>
      </c>
      <c r="M65">
        <f t="shared" si="4"/>
        <v>-1</v>
      </c>
      <c r="N65">
        <f t="shared" si="5"/>
        <v>-1</v>
      </c>
      <c r="O65">
        <v>-1</v>
      </c>
      <c r="P65">
        <v>-1</v>
      </c>
      <c r="Q65">
        <v>-1</v>
      </c>
      <c r="R65">
        <v>-1</v>
      </c>
      <c r="S65">
        <f t="shared" si="6"/>
        <v>-1</v>
      </c>
      <c r="T65">
        <v>-1</v>
      </c>
      <c r="U65">
        <v>-1</v>
      </c>
      <c r="V65">
        <f>7112+163+190</f>
        <v>7465</v>
      </c>
      <c r="W65">
        <f>5126+61+100</f>
        <v>5287</v>
      </c>
      <c r="X65">
        <v>-2</v>
      </c>
      <c r="Y65">
        <v>-2</v>
      </c>
      <c r="Z65">
        <v>-2</v>
      </c>
      <c r="AA65">
        <v>-2</v>
      </c>
      <c r="AB65">
        <f t="shared" si="27"/>
        <v>2178</v>
      </c>
      <c r="AC65">
        <v>-2</v>
      </c>
      <c r="AD65">
        <v>-2</v>
      </c>
      <c r="AE65">
        <v>-2</v>
      </c>
      <c r="AF65">
        <v>-2</v>
      </c>
      <c r="AG65">
        <v>-2</v>
      </c>
      <c r="AH65">
        <v>-2</v>
      </c>
      <c r="AI65">
        <f>6576+128+142</f>
        <v>6846</v>
      </c>
      <c r="AJ65">
        <f>536+35+48</f>
        <v>619</v>
      </c>
      <c r="AK65">
        <v>-2</v>
      </c>
      <c r="AL65">
        <f t="shared" si="24"/>
        <v>162502</v>
      </c>
      <c r="AM65">
        <f t="shared" si="25"/>
        <v>114035</v>
      </c>
      <c r="AN65">
        <v>1200</v>
      </c>
      <c r="AO65">
        <v>34196</v>
      </c>
      <c r="AP65">
        <v>78639</v>
      </c>
      <c r="AQ65">
        <v>-1</v>
      </c>
      <c r="AR65">
        <f t="shared" si="23"/>
        <v>48467</v>
      </c>
      <c r="AS65">
        <f>1602+6804+34272+1130</f>
        <v>43808</v>
      </c>
      <c r="AT65">
        <f>4427+232</f>
        <v>4659</v>
      </c>
      <c r="AU65">
        <f>2+78</f>
        <v>80</v>
      </c>
      <c r="AV65">
        <f>1162+22606+50110+68307+19393</f>
        <v>161578</v>
      </c>
      <c r="AW65">
        <f>563+110+62+40+23</f>
        <v>798</v>
      </c>
      <c r="AX65">
        <f>12+11+23</f>
        <v>46</v>
      </c>
      <c r="AY65">
        <f t="shared" si="10"/>
        <v>-2</v>
      </c>
      <c r="AZ65">
        <f t="shared" si="11"/>
        <v>-2</v>
      </c>
      <c r="BA65">
        <v>-2</v>
      </c>
      <c r="BB65">
        <v>-2</v>
      </c>
      <c r="BC65">
        <v>-2</v>
      </c>
      <c r="BD65">
        <v>-2</v>
      </c>
      <c r="BE65">
        <f t="shared" si="12"/>
        <v>-2</v>
      </c>
      <c r="BF65">
        <v>-2</v>
      </c>
      <c r="BG65">
        <v>-2</v>
      </c>
      <c r="BH65">
        <v>-2</v>
      </c>
      <c r="BI65">
        <v>-2</v>
      </c>
      <c r="BJ65">
        <v>-2</v>
      </c>
      <c r="BK65">
        <v>-2</v>
      </c>
      <c r="BL65">
        <v>-2</v>
      </c>
      <c r="BM65">
        <v>-2</v>
      </c>
      <c r="BN65">
        <v>-2</v>
      </c>
      <c r="BO65">
        <v>-2</v>
      </c>
      <c r="BP65">
        <v>-2</v>
      </c>
      <c r="BQ65">
        <v>-2</v>
      </c>
      <c r="BR65">
        <v>-2</v>
      </c>
      <c r="BS65">
        <v>-2</v>
      </c>
      <c r="BT65">
        <v>-2</v>
      </c>
    </row>
    <row r="66" spans="1:72" ht="12.75">
      <c r="A66">
        <f t="shared" si="13"/>
        <v>1980</v>
      </c>
      <c r="B66" s="10" t="s">
        <v>120</v>
      </c>
      <c r="C66" s="9" t="s">
        <v>149</v>
      </c>
      <c r="D66">
        <f t="shared" si="26"/>
        <v>3477</v>
      </c>
      <c r="E66">
        <f t="shared" si="3"/>
        <v>2461</v>
      </c>
      <c r="F66">
        <v>25</v>
      </c>
      <c r="G66">
        <v>788</v>
      </c>
      <c r="H66">
        <v>1648</v>
      </c>
      <c r="I66">
        <v>-1</v>
      </c>
      <c r="J66">
        <f t="shared" si="18"/>
        <v>1016</v>
      </c>
      <c r="K66">
        <f>37+180+644+27</f>
        <v>888</v>
      </c>
      <c r="L66">
        <f>123+5</f>
        <v>128</v>
      </c>
      <c r="M66">
        <f t="shared" si="4"/>
        <v>-1</v>
      </c>
      <c r="N66">
        <f t="shared" si="5"/>
        <v>-1</v>
      </c>
      <c r="O66">
        <v>-1</v>
      </c>
      <c r="P66">
        <v>-1</v>
      </c>
      <c r="Q66">
        <v>-1</v>
      </c>
      <c r="R66">
        <v>-1</v>
      </c>
      <c r="S66">
        <f t="shared" si="6"/>
        <v>-1</v>
      </c>
      <c r="T66">
        <v>-1</v>
      </c>
      <c r="U66">
        <v>-1</v>
      </c>
      <c r="V66">
        <f>7258+183+177</f>
        <v>7618</v>
      </c>
      <c r="W66">
        <f>5238+85+93</f>
        <v>5416</v>
      </c>
      <c r="X66">
        <v>-2</v>
      </c>
      <c r="Y66">
        <v>-2</v>
      </c>
      <c r="Z66">
        <v>-2</v>
      </c>
      <c r="AA66">
        <v>-2</v>
      </c>
      <c r="AB66">
        <f t="shared" si="27"/>
        <v>2202</v>
      </c>
      <c r="AC66">
        <v>-2</v>
      </c>
      <c r="AD66">
        <v>-2</v>
      </c>
      <c r="AE66">
        <v>-2</v>
      </c>
      <c r="AF66">
        <v>-2</v>
      </c>
      <c r="AG66">
        <v>-2</v>
      </c>
      <c r="AH66">
        <v>-2</v>
      </c>
      <c r="AI66">
        <f>6706+140+129</f>
        <v>6975</v>
      </c>
      <c r="AJ66">
        <f>552+43+48</f>
        <v>643</v>
      </c>
      <c r="AK66">
        <v>-2</v>
      </c>
      <c r="AL66">
        <f t="shared" si="24"/>
        <v>160948</v>
      </c>
      <c r="AM66">
        <f t="shared" si="25"/>
        <v>113918</v>
      </c>
      <c r="AN66">
        <v>1200</v>
      </c>
      <c r="AO66">
        <v>33878</v>
      </c>
      <c r="AP66">
        <v>78840</v>
      </c>
      <c r="AQ66">
        <v>-1</v>
      </c>
      <c r="AR66">
        <f t="shared" si="23"/>
        <v>47030</v>
      </c>
      <c r="AS66">
        <f>1511+6529+33674+1032</f>
        <v>42746</v>
      </c>
      <c r="AT66">
        <f>4121+163</f>
        <v>4284</v>
      </c>
      <c r="AU66">
        <f>1+102</f>
        <v>103</v>
      </c>
      <c r="AV66">
        <f>1165+22867+48683+67621+19696</f>
        <v>160032</v>
      </c>
      <c r="AW66">
        <f>532+114+51+52+17</f>
        <v>766</v>
      </c>
      <c r="AX66">
        <f>17+11+19</f>
        <v>47</v>
      </c>
      <c r="AY66">
        <f t="shared" si="10"/>
        <v>-2</v>
      </c>
      <c r="AZ66">
        <f t="shared" si="11"/>
        <v>-2</v>
      </c>
      <c r="BA66">
        <v>-2</v>
      </c>
      <c r="BB66">
        <v>-2</v>
      </c>
      <c r="BC66">
        <v>-2</v>
      </c>
      <c r="BD66">
        <v>-2</v>
      </c>
      <c r="BE66">
        <f t="shared" si="12"/>
        <v>-2</v>
      </c>
      <c r="BF66">
        <v>-2</v>
      </c>
      <c r="BG66">
        <v>-2</v>
      </c>
      <c r="BH66">
        <v>-2</v>
      </c>
      <c r="BI66">
        <v>-2</v>
      </c>
      <c r="BJ66">
        <v>-2</v>
      </c>
      <c r="BK66">
        <v>-2</v>
      </c>
      <c r="BL66">
        <v>-2</v>
      </c>
      <c r="BM66">
        <v>-2</v>
      </c>
      <c r="BN66">
        <v>-2</v>
      </c>
      <c r="BO66">
        <v>-2</v>
      </c>
      <c r="BP66">
        <v>-2</v>
      </c>
      <c r="BQ66">
        <v>-2</v>
      </c>
      <c r="BR66">
        <v>-2</v>
      </c>
      <c r="BS66">
        <v>-2</v>
      </c>
      <c r="BT66">
        <v>-2</v>
      </c>
    </row>
    <row r="67" spans="1:72" ht="12.75">
      <c r="A67">
        <f t="shared" si="13"/>
        <v>1981</v>
      </c>
      <c r="B67" s="10" t="s">
        <v>120</v>
      </c>
      <c r="C67" s="9" t="s">
        <v>149</v>
      </c>
      <c r="D67">
        <f t="shared" si="26"/>
        <v>3534</v>
      </c>
      <c r="E67">
        <f t="shared" si="3"/>
        <v>2513</v>
      </c>
      <c r="F67">
        <v>25</v>
      </c>
      <c r="G67">
        <v>802</v>
      </c>
      <c r="H67">
        <v>1686</v>
      </c>
      <c r="I67">
        <v>-1</v>
      </c>
      <c r="J67">
        <f t="shared" si="18"/>
        <v>1021</v>
      </c>
      <c r="K67">
        <f>37+183+649+25</f>
        <v>894</v>
      </c>
      <c r="L67">
        <f>121+6</f>
        <v>127</v>
      </c>
      <c r="M67">
        <f t="shared" si="4"/>
        <v>-1</v>
      </c>
      <c r="N67">
        <f t="shared" si="5"/>
        <v>-1</v>
      </c>
      <c r="O67">
        <v>-1</v>
      </c>
      <c r="P67">
        <v>-1</v>
      </c>
      <c r="Q67">
        <v>-1</v>
      </c>
      <c r="R67">
        <v>-1</v>
      </c>
      <c r="S67">
        <f t="shared" si="6"/>
        <v>-1</v>
      </c>
      <c r="T67">
        <v>-1</v>
      </c>
      <c r="U67">
        <v>-1</v>
      </c>
      <c r="V67">
        <f>7405+185+158</f>
        <v>7748</v>
      </c>
      <c r="W67">
        <f>5388+87+86</f>
        <v>5561</v>
      </c>
      <c r="X67">
        <v>-2</v>
      </c>
      <c r="Y67">
        <v>-2</v>
      </c>
      <c r="Z67">
        <v>-2</v>
      </c>
      <c r="AA67">
        <v>-2</v>
      </c>
      <c r="AB67">
        <f t="shared" si="27"/>
        <v>2187</v>
      </c>
      <c r="AC67">
        <v>-2</v>
      </c>
      <c r="AD67">
        <v>-2</v>
      </c>
      <c r="AE67">
        <v>-2</v>
      </c>
      <c r="AF67">
        <v>-2</v>
      </c>
      <c r="AG67">
        <v>-2</v>
      </c>
      <c r="AH67">
        <v>-2</v>
      </c>
      <c r="AI67">
        <f>6848+140+121</f>
        <v>7109</v>
      </c>
      <c r="AJ67">
        <f>557+45+37</f>
        <v>639</v>
      </c>
      <c r="AK67">
        <v>-2</v>
      </c>
      <c r="AL67">
        <f t="shared" si="24"/>
        <v>159186</v>
      </c>
      <c r="AM67">
        <f t="shared" si="25"/>
        <v>113310</v>
      </c>
      <c r="AN67">
        <v>1181</v>
      </c>
      <c r="AO67">
        <v>33446</v>
      </c>
      <c r="AP67">
        <v>78683</v>
      </c>
      <c r="AQ67">
        <v>-1</v>
      </c>
      <c r="AR67">
        <f t="shared" si="23"/>
        <v>45876</v>
      </c>
      <c r="AS67">
        <f>1461+6601+32763+969</f>
        <v>41794</v>
      </c>
      <c r="AT67">
        <f>3931+151</f>
        <v>4082</v>
      </c>
      <c r="AU67">
        <f>6+147</f>
        <v>153</v>
      </c>
      <c r="AV67">
        <f>1391+23576+48938+65564+18859</f>
        <v>158328</v>
      </c>
      <c r="AW67">
        <f>429+121+47+30+31</f>
        <v>658</v>
      </c>
      <c r="AX67">
        <f>10+15+22</f>
        <v>47</v>
      </c>
      <c r="AY67">
        <f t="shared" si="10"/>
        <v>-2</v>
      </c>
      <c r="AZ67">
        <f t="shared" si="11"/>
        <v>-2</v>
      </c>
      <c r="BA67">
        <v>-2</v>
      </c>
      <c r="BB67">
        <v>-2</v>
      </c>
      <c r="BC67">
        <v>-2</v>
      </c>
      <c r="BD67">
        <v>-2</v>
      </c>
      <c r="BE67">
        <f t="shared" si="12"/>
        <v>-2</v>
      </c>
      <c r="BF67">
        <v>-2</v>
      </c>
      <c r="BG67">
        <v>-2</v>
      </c>
      <c r="BH67">
        <v>-2</v>
      </c>
      <c r="BI67">
        <v>-2</v>
      </c>
      <c r="BJ67">
        <v>-2</v>
      </c>
      <c r="BK67">
        <v>-2</v>
      </c>
      <c r="BL67">
        <v>-2</v>
      </c>
      <c r="BM67">
        <v>-2</v>
      </c>
      <c r="BN67">
        <v>-2</v>
      </c>
      <c r="BO67">
        <v>-2</v>
      </c>
      <c r="BP67">
        <v>-2</v>
      </c>
      <c r="BQ67">
        <v>-2</v>
      </c>
      <c r="BR67">
        <v>-2</v>
      </c>
      <c r="BS67">
        <v>-2</v>
      </c>
      <c r="BT67">
        <v>-2</v>
      </c>
    </row>
    <row r="68" spans="1:72" ht="12.75">
      <c r="A68">
        <f t="shared" si="13"/>
        <v>1982</v>
      </c>
      <c r="B68" s="10" t="s">
        <v>120</v>
      </c>
      <c r="C68" s="9" t="s">
        <v>149</v>
      </c>
      <c r="D68">
        <f t="shared" si="26"/>
        <v>3554</v>
      </c>
      <c r="E68">
        <f t="shared" si="3"/>
        <v>2541</v>
      </c>
      <c r="F68">
        <v>26</v>
      </c>
      <c r="G68">
        <v>815</v>
      </c>
      <c r="H68">
        <v>1700</v>
      </c>
      <c r="I68">
        <v>-1</v>
      </c>
      <c r="J68">
        <f t="shared" si="18"/>
        <v>1013</v>
      </c>
      <c r="K68">
        <f>36+177+644+25</f>
        <v>882</v>
      </c>
      <c r="L68">
        <f>125+6</f>
        <v>131</v>
      </c>
      <c r="M68">
        <f t="shared" si="4"/>
        <v>-1</v>
      </c>
      <c r="N68">
        <f t="shared" si="5"/>
        <v>-1</v>
      </c>
      <c r="O68">
        <v>-1</v>
      </c>
      <c r="P68">
        <v>-1</v>
      </c>
      <c r="Q68">
        <v>-1</v>
      </c>
      <c r="R68">
        <v>-1</v>
      </c>
      <c r="S68">
        <f t="shared" si="6"/>
        <v>-1</v>
      </c>
      <c r="T68">
        <v>-1</v>
      </c>
      <c r="U68">
        <v>-1</v>
      </c>
      <c r="V68">
        <f>7500+157+164</f>
        <v>7821</v>
      </c>
      <c r="W68">
        <f>5479+87+83</f>
        <v>5649</v>
      </c>
      <c r="X68">
        <v>-2</v>
      </c>
      <c r="Y68">
        <v>-2</v>
      </c>
      <c r="Z68">
        <v>-2</v>
      </c>
      <c r="AA68">
        <v>-2</v>
      </c>
      <c r="AB68">
        <f t="shared" si="27"/>
        <v>2172</v>
      </c>
      <c r="AC68">
        <v>-2</v>
      </c>
      <c r="AD68">
        <v>-2</v>
      </c>
      <c r="AE68">
        <v>-2</v>
      </c>
      <c r="AF68">
        <v>-2</v>
      </c>
      <c r="AG68">
        <v>-2</v>
      </c>
      <c r="AH68">
        <v>-2</v>
      </c>
      <c r="AI68">
        <f>6893+122+125</f>
        <v>7140</v>
      </c>
      <c r="AJ68">
        <f>607+35+39</f>
        <v>681</v>
      </c>
      <c r="AK68">
        <v>-2</v>
      </c>
      <c r="AL68">
        <f t="shared" si="24"/>
        <v>158923</v>
      </c>
      <c r="AM68">
        <f t="shared" si="25"/>
        <v>113894</v>
      </c>
      <c r="AN68">
        <v>1199</v>
      </c>
      <c r="AO68">
        <v>33571</v>
      </c>
      <c r="AP68">
        <v>79124</v>
      </c>
      <c r="AQ68">
        <v>-1</v>
      </c>
      <c r="AR68">
        <f t="shared" si="23"/>
        <v>45029</v>
      </c>
      <c r="AS68">
        <f>1417+6377+32141+960</f>
        <v>40895</v>
      </c>
      <c r="AT68">
        <f>3974+160</f>
        <v>4134</v>
      </c>
      <c r="AU68">
        <f>5+169</f>
        <v>174</v>
      </c>
      <c r="AV68">
        <f>1265+24036+49147+64936+18671</f>
        <v>158055</v>
      </c>
      <c r="AW68">
        <f>426+109+52+28+24</f>
        <v>639</v>
      </c>
      <c r="AX68">
        <f>21+9+25</f>
        <v>55</v>
      </c>
      <c r="AY68">
        <f t="shared" si="10"/>
        <v>-2</v>
      </c>
      <c r="AZ68">
        <f t="shared" si="11"/>
        <v>-2</v>
      </c>
      <c r="BA68">
        <v>-2</v>
      </c>
      <c r="BB68">
        <v>-2</v>
      </c>
      <c r="BC68">
        <v>-2</v>
      </c>
      <c r="BD68">
        <v>-2</v>
      </c>
      <c r="BE68">
        <f t="shared" si="12"/>
        <v>-2</v>
      </c>
      <c r="BF68">
        <v>-2</v>
      </c>
      <c r="BG68">
        <v>-2</v>
      </c>
      <c r="BH68">
        <v>-2</v>
      </c>
      <c r="BI68">
        <v>-2</v>
      </c>
      <c r="BJ68">
        <v>-2</v>
      </c>
      <c r="BK68">
        <v>-2</v>
      </c>
      <c r="BL68">
        <v>-2</v>
      </c>
      <c r="BM68">
        <v>-2</v>
      </c>
      <c r="BN68">
        <v>-2</v>
      </c>
      <c r="BO68">
        <v>-2</v>
      </c>
      <c r="BP68">
        <v>-2</v>
      </c>
      <c r="BQ68">
        <v>-2</v>
      </c>
      <c r="BR68">
        <v>-2</v>
      </c>
      <c r="BS68">
        <v>-2</v>
      </c>
      <c r="BT68">
        <v>-2</v>
      </c>
    </row>
    <row r="69" spans="1:72" ht="12.75">
      <c r="A69">
        <f t="shared" si="13"/>
        <v>1983</v>
      </c>
      <c r="B69" s="10" t="s">
        <v>120</v>
      </c>
      <c r="C69" s="9" t="s">
        <v>149</v>
      </c>
      <c r="D69">
        <f t="shared" si="26"/>
        <v>3520</v>
      </c>
      <c r="E69">
        <f t="shared" si="3"/>
        <v>2581</v>
      </c>
      <c r="F69">
        <v>28</v>
      </c>
      <c r="G69">
        <v>816</v>
      </c>
      <c r="H69">
        <v>1737</v>
      </c>
      <c r="I69">
        <v>-1</v>
      </c>
      <c r="J69">
        <f t="shared" si="18"/>
        <v>939</v>
      </c>
      <c r="K69">
        <f>33+117+643+21</f>
        <v>814</v>
      </c>
      <c r="L69">
        <f>120+5</f>
        <v>125</v>
      </c>
      <c r="M69">
        <f t="shared" si="4"/>
        <v>-1</v>
      </c>
      <c r="N69">
        <f t="shared" si="5"/>
        <v>-1</v>
      </c>
      <c r="O69">
        <v>-1</v>
      </c>
      <c r="P69">
        <v>-1</v>
      </c>
      <c r="Q69">
        <v>-1</v>
      </c>
      <c r="R69">
        <v>-1</v>
      </c>
      <c r="S69">
        <f t="shared" si="6"/>
        <v>-1</v>
      </c>
      <c r="T69">
        <v>-1</v>
      </c>
      <c r="U69">
        <v>-1</v>
      </c>
      <c r="V69">
        <f>7689+181+151</f>
        <v>8021</v>
      </c>
      <c r="W69">
        <f>5665+74+89</f>
        <v>5828</v>
      </c>
      <c r="X69">
        <v>-2</v>
      </c>
      <c r="Y69">
        <v>-2</v>
      </c>
      <c r="Z69">
        <v>-2</v>
      </c>
      <c r="AA69">
        <v>-2</v>
      </c>
      <c r="AB69">
        <f t="shared" si="27"/>
        <v>2193</v>
      </c>
      <c r="AC69">
        <v>-2</v>
      </c>
      <c r="AD69">
        <v>-2</v>
      </c>
      <c r="AE69">
        <v>-2</v>
      </c>
      <c r="AF69">
        <v>-2</v>
      </c>
      <c r="AG69">
        <v>-2</v>
      </c>
      <c r="AH69">
        <v>-2</v>
      </c>
      <c r="AI69">
        <f>7056+133+120</f>
        <v>7309</v>
      </c>
      <c r="AJ69">
        <f>633+48+31</f>
        <v>712</v>
      </c>
      <c r="AK69">
        <v>-2</v>
      </c>
      <c r="AL69">
        <f t="shared" si="24"/>
        <v>161113</v>
      </c>
      <c r="AM69">
        <f t="shared" si="25"/>
        <v>116208</v>
      </c>
      <c r="AN69">
        <v>1208</v>
      </c>
      <c r="AO69">
        <f>33881</f>
        <v>33881</v>
      </c>
      <c r="AP69">
        <v>81119</v>
      </c>
      <c r="AQ69">
        <v>-1</v>
      </c>
      <c r="AR69">
        <f t="shared" si="23"/>
        <v>44905</v>
      </c>
      <c r="AS69">
        <f>1298+6266+32342+918</f>
        <v>40824</v>
      </c>
      <c r="AT69">
        <f>3950+131</f>
        <v>4081</v>
      </c>
      <c r="AU69">
        <f>4+183</f>
        <v>187</v>
      </c>
      <c r="AV69">
        <f>1245+24812+50078+65505+18259</f>
        <v>159899</v>
      </c>
      <c r="AW69">
        <f>487+107+52+21+24</f>
        <v>691</v>
      </c>
      <c r="AX69">
        <f>23+17+22</f>
        <v>62</v>
      </c>
      <c r="AY69">
        <f t="shared" si="10"/>
        <v>-2</v>
      </c>
      <c r="AZ69">
        <f t="shared" si="11"/>
        <v>-2</v>
      </c>
      <c r="BA69">
        <v>-2</v>
      </c>
      <c r="BB69">
        <v>-2</v>
      </c>
      <c r="BC69">
        <v>-2</v>
      </c>
      <c r="BD69">
        <v>-2</v>
      </c>
      <c r="BE69">
        <f t="shared" si="12"/>
        <v>-2</v>
      </c>
      <c r="BF69">
        <v>-2</v>
      </c>
      <c r="BG69">
        <v>-2</v>
      </c>
      <c r="BH69">
        <v>-2</v>
      </c>
      <c r="BI69">
        <v>-2</v>
      </c>
      <c r="BJ69">
        <v>-2</v>
      </c>
      <c r="BK69">
        <v>-2</v>
      </c>
      <c r="BL69">
        <v>-2</v>
      </c>
      <c r="BM69">
        <v>-2</v>
      </c>
      <c r="BN69">
        <v>-2</v>
      </c>
      <c r="BO69">
        <v>-2</v>
      </c>
      <c r="BP69">
        <v>-2</v>
      </c>
      <c r="BQ69">
        <v>-2</v>
      </c>
      <c r="BR69">
        <v>-2</v>
      </c>
      <c r="BS69">
        <v>-2</v>
      </c>
      <c r="BT69">
        <v>-2</v>
      </c>
    </row>
    <row r="70" spans="1:72" ht="12.75">
      <c r="A70">
        <f t="shared" si="13"/>
        <v>1984</v>
      </c>
      <c r="B70" s="10" t="s">
        <v>120</v>
      </c>
      <c r="C70" s="9" t="s">
        <v>149</v>
      </c>
      <c r="D70">
        <f t="shared" si="26"/>
        <v>3604</v>
      </c>
      <c r="E70">
        <f t="shared" si="3"/>
        <v>2608</v>
      </c>
      <c r="F70">
        <v>28</v>
      </c>
      <c r="G70">
        <v>821</v>
      </c>
      <c r="H70">
        <v>1759</v>
      </c>
      <c r="I70">
        <v>-1</v>
      </c>
      <c r="J70">
        <f t="shared" si="18"/>
        <v>996</v>
      </c>
      <c r="K70">
        <f>29+188+641+21</f>
        <v>879</v>
      </c>
      <c r="L70">
        <f>111+6</f>
        <v>117</v>
      </c>
      <c r="M70">
        <f t="shared" si="4"/>
        <v>-1</v>
      </c>
      <c r="N70">
        <f t="shared" si="5"/>
        <v>-1</v>
      </c>
      <c r="O70">
        <v>-1</v>
      </c>
      <c r="P70">
        <v>-1</v>
      </c>
      <c r="Q70">
        <v>-1</v>
      </c>
      <c r="R70">
        <v>-1</v>
      </c>
      <c r="S70">
        <f t="shared" si="6"/>
        <v>-1</v>
      </c>
      <c r="T70">
        <v>-1</v>
      </c>
      <c r="U70">
        <v>-1</v>
      </c>
      <c r="V70">
        <f>7876+195+142</f>
        <v>8213</v>
      </c>
      <c r="W70">
        <f>5814+104+79</f>
        <v>5997</v>
      </c>
      <c r="X70">
        <v>-2</v>
      </c>
      <c r="Y70">
        <v>-2</v>
      </c>
      <c r="Z70">
        <v>-2</v>
      </c>
      <c r="AA70">
        <v>-2</v>
      </c>
      <c r="AB70">
        <f t="shared" si="27"/>
        <v>2216</v>
      </c>
      <c r="AC70">
        <v>-2</v>
      </c>
      <c r="AD70">
        <v>-2</v>
      </c>
      <c r="AE70">
        <v>-2</v>
      </c>
      <c r="AF70">
        <v>-2</v>
      </c>
      <c r="AG70">
        <v>-2</v>
      </c>
      <c r="AH70">
        <v>-2</v>
      </c>
      <c r="AI70">
        <f>7146+146+114</f>
        <v>7406</v>
      </c>
      <c r="AJ70">
        <f>730+49+28</f>
        <v>807</v>
      </c>
      <c r="AK70">
        <v>-2</v>
      </c>
      <c r="AL70">
        <f t="shared" si="24"/>
        <v>167184</v>
      </c>
      <c r="AM70">
        <f t="shared" si="25"/>
        <v>120913</v>
      </c>
      <c r="AN70">
        <v>1228</v>
      </c>
      <c r="AO70">
        <v>35498</v>
      </c>
      <c r="AP70">
        <v>84187</v>
      </c>
      <c r="AQ70">
        <v>-1</v>
      </c>
      <c r="AR70">
        <f t="shared" si="23"/>
        <v>46271</v>
      </c>
      <c r="AS70">
        <f>1165+6906+33410+955</f>
        <v>42436</v>
      </c>
      <c r="AT70">
        <f>3691+144</f>
        <v>3835</v>
      </c>
      <c r="AU70">
        <f>10+75</f>
        <v>85</v>
      </c>
      <c r="AV70">
        <f>1316+25914+53241+67452+18696</f>
        <v>166619</v>
      </c>
      <c r="AW70">
        <f>298+42+27+22+13</f>
        <v>402</v>
      </c>
      <c r="AX70">
        <f>19+16+43</f>
        <v>78</v>
      </c>
      <c r="AY70">
        <f t="shared" si="10"/>
        <v>-2</v>
      </c>
      <c r="AZ70">
        <f t="shared" si="11"/>
        <v>-2</v>
      </c>
      <c r="BA70">
        <v>-2</v>
      </c>
      <c r="BB70">
        <v>-2</v>
      </c>
      <c r="BC70">
        <v>-2</v>
      </c>
      <c r="BD70">
        <v>-2</v>
      </c>
      <c r="BE70">
        <f t="shared" si="12"/>
        <v>-2</v>
      </c>
      <c r="BF70">
        <v>-2</v>
      </c>
      <c r="BG70">
        <v>-2</v>
      </c>
      <c r="BH70">
        <v>-2</v>
      </c>
      <c r="BI70">
        <v>-2</v>
      </c>
      <c r="BJ70">
        <v>-2</v>
      </c>
      <c r="BK70">
        <v>-2</v>
      </c>
      <c r="BL70">
        <v>-2</v>
      </c>
      <c r="BM70">
        <v>-2</v>
      </c>
      <c r="BN70">
        <v>-2</v>
      </c>
      <c r="BO70">
        <v>-2</v>
      </c>
      <c r="BP70">
        <v>-2</v>
      </c>
      <c r="BQ70">
        <v>-2</v>
      </c>
      <c r="BR70">
        <v>-2</v>
      </c>
      <c r="BS70">
        <v>-2</v>
      </c>
      <c r="BT70">
        <v>-2</v>
      </c>
    </row>
    <row r="71" spans="1:72" ht="12.75">
      <c r="A71">
        <f t="shared" si="13"/>
        <v>1985</v>
      </c>
      <c r="B71" s="10" t="s">
        <v>120</v>
      </c>
      <c r="C71" s="9" t="s">
        <v>149</v>
      </c>
      <c r="D71">
        <f t="shared" si="26"/>
        <v>3667</v>
      </c>
      <c r="E71">
        <f t="shared" si="3"/>
        <v>2671</v>
      </c>
      <c r="F71">
        <v>28</v>
      </c>
      <c r="G71">
        <v>850</v>
      </c>
      <c r="H71">
        <v>1793</v>
      </c>
      <c r="I71">
        <v>-1</v>
      </c>
      <c r="J71">
        <f t="shared" si="18"/>
        <v>996</v>
      </c>
      <c r="K71">
        <f>26+191+643+21</f>
        <v>881</v>
      </c>
      <c r="L71">
        <f>108+7</f>
        <v>115</v>
      </c>
      <c r="M71">
        <f t="shared" si="4"/>
        <v>-1</v>
      </c>
      <c r="N71">
        <f t="shared" si="5"/>
        <v>-1</v>
      </c>
      <c r="O71">
        <v>-1</v>
      </c>
      <c r="P71">
        <v>-1</v>
      </c>
      <c r="Q71">
        <v>-1</v>
      </c>
      <c r="R71">
        <v>-1</v>
      </c>
      <c r="S71">
        <f t="shared" si="6"/>
        <v>-1</v>
      </c>
      <c r="T71">
        <v>-1</v>
      </c>
      <c r="U71">
        <v>-1</v>
      </c>
      <c r="V71">
        <f>8159+162+153</f>
        <v>8474</v>
      </c>
      <c r="W71">
        <f>6051+78+76</f>
        <v>6205</v>
      </c>
      <c r="X71">
        <v>-2</v>
      </c>
      <c r="Y71">
        <v>-2</v>
      </c>
      <c r="Z71">
        <v>-2</v>
      </c>
      <c r="AA71">
        <v>-2</v>
      </c>
      <c r="AB71">
        <f t="shared" si="27"/>
        <v>2269</v>
      </c>
      <c r="AC71">
        <v>-2</v>
      </c>
      <c r="AD71">
        <v>-2</v>
      </c>
      <c r="AE71">
        <v>-2</v>
      </c>
      <c r="AF71">
        <v>-2</v>
      </c>
      <c r="AG71">
        <v>-2</v>
      </c>
      <c r="AH71">
        <v>-2</v>
      </c>
      <c r="AI71">
        <f>7380+124+116</f>
        <v>7620</v>
      </c>
      <c r="AJ71">
        <f>779+38+37</f>
        <v>854</v>
      </c>
      <c r="AK71">
        <v>-2</v>
      </c>
      <c r="AL71">
        <f t="shared" si="24"/>
        <v>174982</v>
      </c>
      <c r="AM71">
        <f t="shared" si="25"/>
        <v>126969</v>
      </c>
      <c r="AN71">
        <v>1293</v>
      </c>
      <c r="AO71">
        <v>37514</v>
      </c>
      <c r="AP71">
        <v>88162</v>
      </c>
      <c r="AQ71">
        <v>-1</v>
      </c>
      <c r="AR71">
        <f t="shared" si="23"/>
        <v>48013</v>
      </c>
      <c r="AS71">
        <f>1001+7108+34605+1046</f>
        <v>43760</v>
      </c>
      <c r="AT71">
        <f>4055+198</f>
        <v>4253</v>
      </c>
      <c r="AU71">
        <v>32</v>
      </c>
      <c r="AV71">
        <f>1270+25382+55927+72797+19126</f>
        <v>174502</v>
      </c>
      <c r="AW71">
        <f>247+53+41+25+16</f>
        <v>382</v>
      </c>
      <c r="AX71">
        <f>13+10+32</f>
        <v>55</v>
      </c>
      <c r="AY71">
        <f t="shared" si="10"/>
        <v>-2</v>
      </c>
      <c r="AZ71">
        <f t="shared" si="11"/>
        <v>-2</v>
      </c>
      <c r="BA71">
        <v>-2</v>
      </c>
      <c r="BB71">
        <v>-2</v>
      </c>
      <c r="BC71">
        <v>-2</v>
      </c>
      <c r="BD71">
        <v>-2</v>
      </c>
      <c r="BE71">
        <f t="shared" si="12"/>
        <v>-2</v>
      </c>
      <c r="BF71">
        <v>-2</v>
      </c>
      <c r="BG71">
        <v>-2</v>
      </c>
      <c r="BH71">
        <v>-2</v>
      </c>
      <c r="BI71">
        <v>-2</v>
      </c>
      <c r="BJ71">
        <v>-2</v>
      </c>
      <c r="BK71">
        <v>-2</v>
      </c>
      <c r="BL71">
        <v>-2</v>
      </c>
      <c r="BM71">
        <v>-2</v>
      </c>
      <c r="BN71">
        <v>-2</v>
      </c>
      <c r="BO71">
        <v>-2</v>
      </c>
      <c r="BP71">
        <v>-2</v>
      </c>
      <c r="BQ71">
        <v>-2</v>
      </c>
      <c r="BR71">
        <v>-2</v>
      </c>
      <c r="BS71">
        <v>-2</v>
      </c>
      <c r="BT71">
        <v>-2</v>
      </c>
    </row>
    <row r="72" spans="1:72" ht="12.75">
      <c r="A72">
        <f t="shared" si="13"/>
        <v>1986</v>
      </c>
      <c r="B72" s="10" t="s">
        <v>120</v>
      </c>
      <c r="C72" s="9" t="s">
        <v>149</v>
      </c>
      <c r="D72">
        <f t="shared" si="26"/>
        <v>3747</v>
      </c>
      <c r="E72">
        <f t="shared" si="3"/>
        <v>2739</v>
      </c>
      <c r="F72">
        <v>28</v>
      </c>
      <c r="G72">
        <v>861</v>
      </c>
      <c r="H72">
        <v>1850</v>
      </c>
      <c r="I72">
        <v>-1</v>
      </c>
      <c r="J72">
        <f t="shared" si="18"/>
        <v>1008</v>
      </c>
      <c r="K72">
        <f>23+198+649+20</f>
        <v>890</v>
      </c>
      <c r="L72">
        <f>111+7</f>
        <v>118</v>
      </c>
      <c r="M72">
        <f t="shared" si="4"/>
        <v>-1</v>
      </c>
      <c r="N72">
        <f t="shared" si="5"/>
        <v>-1</v>
      </c>
      <c r="O72">
        <v>-1</v>
      </c>
      <c r="P72">
        <v>-1</v>
      </c>
      <c r="Q72">
        <v>-1</v>
      </c>
      <c r="R72">
        <v>-1</v>
      </c>
      <c r="S72">
        <f t="shared" si="6"/>
        <v>-1</v>
      </c>
      <c r="T72">
        <v>-1</v>
      </c>
      <c r="U72">
        <v>-1</v>
      </c>
      <c r="V72">
        <f>8563+127+120</f>
        <v>8810</v>
      </c>
      <c r="W72">
        <f>6364+40+58</f>
        <v>6462</v>
      </c>
      <c r="X72">
        <v>-2</v>
      </c>
      <c r="Y72">
        <v>-2</v>
      </c>
      <c r="Z72">
        <v>-2</v>
      </c>
      <c r="AA72">
        <v>-2</v>
      </c>
      <c r="AB72">
        <f t="shared" si="27"/>
        <v>2348</v>
      </c>
      <c r="AC72">
        <v>-2</v>
      </c>
      <c r="AD72">
        <v>-2</v>
      </c>
      <c r="AE72">
        <v>-2</v>
      </c>
      <c r="AF72">
        <v>-2</v>
      </c>
      <c r="AG72">
        <v>-2</v>
      </c>
      <c r="AH72">
        <v>-2</v>
      </c>
      <c r="AI72">
        <f>7653+86+93</f>
        <v>7832</v>
      </c>
      <c r="AJ72">
        <f>910+41+27</f>
        <v>978</v>
      </c>
      <c r="AK72">
        <v>-2</v>
      </c>
      <c r="AL72">
        <f t="shared" si="24"/>
        <v>182718</v>
      </c>
      <c r="AM72">
        <f t="shared" si="25"/>
        <v>132903</v>
      </c>
      <c r="AN72">
        <v>1296</v>
      </c>
      <c r="AO72">
        <v>38512</v>
      </c>
      <c r="AP72">
        <v>93095</v>
      </c>
      <c r="AQ72">
        <v>-1</v>
      </c>
      <c r="AR72">
        <f t="shared" si="23"/>
        <v>49815</v>
      </c>
      <c r="AS72">
        <f>926+7567+35906+1005</f>
        <v>45404</v>
      </c>
      <c r="AT72">
        <f>3987+424</f>
        <v>4411</v>
      </c>
      <c r="AU72">
        <f>7+68</f>
        <v>75</v>
      </c>
      <c r="AV72">
        <f>1002+25399+57545+76298+21810</f>
        <v>182054</v>
      </c>
      <c r="AW72">
        <f>405+57+27+8+12</f>
        <v>509</v>
      </c>
      <c r="AX72">
        <f>17+11+52</f>
        <v>80</v>
      </c>
      <c r="AY72">
        <f t="shared" si="10"/>
        <v>-2</v>
      </c>
      <c r="AZ72">
        <f t="shared" si="11"/>
        <v>-2</v>
      </c>
      <c r="BA72">
        <v>-2</v>
      </c>
      <c r="BB72">
        <v>-2</v>
      </c>
      <c r="BC72">
        <v>-2</v>
      </c>
      <c r="BD72">
        <v>-2</v>
      </c>
      <c r="BE72">
        <f t="shared" si="12"/>
        <v>-2</v>
      </c>
      <c r="BF72">
        <v>-2</v>
      </c>
      <c r="BG72">
        <v>-2</v>
      </c>
      <c r="BH72">
        <v>-2</v>
      </c>
      <c r="BI72">
        <v>-2</v>
      </c>
      <c r="BJ72">
        <v>-2</v>
      </c>
      <c r="BK72">
        <v>-2</v>
      </c>
      <c r="BL72">
        <v>-2</v>
      </c>
      <c r="BM72">
        <v>-2</v>
      </c>
      <c r="BN72">
        <v>-2</v>
      </c>
      <c r="BO72">
        <v>-2</v>
      </c>
      <c r="BP72">
        <v>-2</v>
      </c>
      <c r="BQ72">
        <v>-2</v>
      </c>
      <c r="BR72">
        <v>-2</v>
      </c>
      <c r="BS72">
        <v>-2</v>
      </c>
      <c r="BT72">
        <v>-2</v>
      </c>
    </row>
    <row r="73" spans="1:72" ht="12.75">
      <c r="A73">
        <f t="shared" si="13"/>
        <v>1987</v>
      </c>
      <c r="B73" s="10" t="s">
        <v>120</v>
      </c>
      <c r="C73" s="9" t="s">
        <v>149</v>
      </c>
      <c r="D73">
        <f t="shared" si="26"/>
        <v>3790</v>
      </c>
      <c r="E73">
        <f t="shared" si="3"/>
        <v>2779</v>
      </c>
      <c r="F73">
        <v>28</v>
      </c>
      <c r="G73">
        <v>869</v>
      </c>
      <c r="H73">
        <v>1882</v>
      </c>
      <c r="I73">
        <v>-1</v>
      </c>
      <c r="J73">
        <f t="shared" si="18"/>
        <v>1011</v>
      </c>
      <c r="K73">
        <f>25+199+647+21</f>
        <v>892</v>
      </c>
      <c r="L73">
        <f>112+7</f>
        <v>119</v>
      </c>
      <c r="M73">
        <f t="shared" si="4"/>
        <v>-1</v>
      </c>
      <c r="N73">
        <f t="shared" si="5"/>
        <v>-1</v>
      </c>
      <c r="O73">
        <v>-1</v>
      </c>
      <c r="P73">
        <v>-1</v>
      </c>
      <c r="Q73">
        <v>-1</v>
      </c>
      <c r="R73">
        <v>-1</v>
      </c>
      <c r="S73">
        <f t="shared" si="6"/>
        <v>-1</v>
      </c>
      <c r="T73">
        <v>-1</v>
      </c>
      <c r="U73">
        <v>-1</v>
      </c>
      <c r="V73">
        <f>8754+119+92</f>
        <v>8965</v>
      </c>
      <c r="W73">
        <f>6523+22+34</f>
        <v>6579</v>
      </c>
      <c r="X73">
        <v>-2</v>
      </c>
      <c r="Y73">
        <v>-2</v>
      </c>
      <c r="Z73">
        <v>-2</v>
      </c>
      <c r="AA73">
        <v>-2</v>
      </c>
      <c r="AB73">
        <f t="shared" si="27"/>
        <v>2386</v>
      </c>
      <c r="AC73">
        <v>-2</v>
      </c>
      <c r="AD73">
        <v>-2</v>
      </c>
      <c r="AE73">
        <v>-2</v>
      </c>
      <c r="AF73">
        <v>-2</v>
      </c>
      <c r="AG73">
        <v>-2</v>
      </c>
      <c r="AH73">
        <v>-2</v>
      </c>
      <c r="AI73">
        <f>7803+77+70</f>
        <v>7950</v>
      </c>
      <c r="AJ73">
        <f>951+42+22</f>
        <v>1015</v>
      </c>
      <c r="AK73">
        <v>-2</v>
      </c>
      <c r="AL73">
        <f t="shared" si="24"/>
        <v>184271</v>
      </c>
      <c r="AM73">
        <f t="shared" si="25"/>
        <v>134240</v>
      </c>
      <c r="AN73">
        <v>1306</v>
      </c>
      <c r="AO73">
        <v>39009</v>
      </c>
      <c r="AP73">
        <v>93925</v>
      </c>
      <c r="AQ73">
        <v>-1</v>
      </c>
      <c r="AR73">
        <f aca="true" t="shared" si="28" ref="AR73:AR84">IF(OR(AS73&gt;=0,AT73&gt;=0),SUMIF(AS73:AT73,"&gt;=0",AS73:AT73),MIN(AS73:AT73))</f>
        <v>50031</v>
      </c>
      <c r="AS73">
        <f>933+7616+36130+976</f>
        <v>45655</v>
      </c>
      <c r="AT73">
        <f>3978+398</f>
        <v>4376</v>
      </c>
      <c r="AU73">
        <v>29</v>
      </c>
      <c r="AV73">
        <f>883+25265+56788+78353+22332</f>
        <v>183621</v>
      </c>
      <c r="AW73">
        <f>457+49+17+14+5</f>
        <v>542</v>
      </c>
      <c r="AX73">
        <f>9+12+58</f>
        <v>79</v>
      </c>
      <c r="AY73">
        <f t="shared" si="10"/>
        <v>-2</v>
      </c>
      <c r="AZ73">
        <f t="shared" si="11"/>
        <v>-2</v>
      </c>
      <c r="BA73">
        <v>-2</v>
      </c>
      <c r="BB73">
        <v>-2</v>
      </c>
      <c r="BC73">
        <v>-2</v>
      </c>
      <c r="BD73">
        <v>-2</v>
      </c>
      <c r="BE73">
        <f t="shared" si="12"/>
        <v>-2</v>
      </c>
      <c r="BF73">
        <v>-2</v>
      </c>
      <c r="BG73">
        <v>-2</v>
      </c>
      <c r="BH73">
        <v>-2</v>
      </c>
      <c r="BI73">
        <v>-2</v>
      </c>
      <c r="BJ73">
        <v>-2</v>
      </c>
      <c r="BK73">
        <v>-2</v>
      </c>
      <c r="BL73">
        <v>-2</v>
      </c>
      <c r="BM73">
        <v>-2</v>
      </c>
      <c r="BN73">
        <v>-2</v>
      </c>
      <c r="BO73">
        <v>-2</v>
      </c>
      <c r="BP73">
        <v>-2</v>
      </c>
      <c r="BQ73">
        <v>-2</v>
      </c>
      <c r="BR73">
        <v>-2</v>
      </c>
      <c r="BS73">
        <v>-2</v>
      </c>
      <c r="BT73">
        <v>-2</v>
      </c>
    </row>
    <row r="74" spans="1:72" ht="12.75">
      <c r="A74">
        <f t="shared" si="13"/>
        <v>1988</v>
      </c>
      <c r="B74" s="10" t="s">
        <v>120</v>
      </c>
      <c r="C74" s="9" t="s">
        <v>149</v>
      </c>
      <c r="D74">
        <f t="shared" si="26"/>
        <v>3828</v>
      </c>
      <c r="E74">
        <f t="shared" si="3"/>
        <v>2820</v>
      </c>
      <c r="F74">
        <v>27</v>
      </c>
      <c r="G74">
        <v>17</v>
      </c>
      <c r="H74">
        <v>2776</v>
      </c>
      <c r="I74">
        <v>-1</v>
      </c>
      <c r="J74">
        <f t="shared" si="18"/>
        <v>1008</v>
      </c>
      <c r="K74">
        <f>24+202+644+21</f>
        <v>891</v>
      </c>
      <c r="L74">
        <f>110+7</f>
        <v>117</v>
      </c>
      <c r="M74">
        <f t="shared" si="4"/>
        <v>-1</v>
      </c>
      <c r="N74">
        <f t="shared" si="5"/>
        <v>-1</v>
      </c>
      <c r="O74">
        <v>-1</v>
      </c>
      <c r="P74">
        <v>-1</v>
      </c>
      <c r="Q74">
        <v>-1</v>
      </c>
      <c r="R74">
        <v>-1</v>
      </c>
      <c r="S74">
        <f t="shared" si="6"/>
        <v>-1</v>
      </c>
      <c r="T74">
        <v>-1</v>
      </c>
      <c r="U74">
        <v>-1</v>
      </c>
      <c r="V74">
        <f>8863+130+79</f>
        <v>9072</v>
      </c>
      <c r="W74">
        <f>6613+40+34</f>
        <v>6687</v>
      </c>
      <c r="X74">
        <v>-2</v>
      </c>
      <c r="Y74">
        <v>-2</v>
      </c>
      <c r="Z74">
        <v>-2</v>
      </c>
      <c r="AA74">
        <v>-2</v>
      </c>
      <c r="AB74">
        <f t="shared" si="27"/>
        <v>2385</v>
      </c>
      <c r="AC74">
        <v>-2</v>
      </c>
      <c r="AD74">
        <v>-2</v>
      </c>
      <c r="AE74">
        <v>-2</v>
      </c>
      <c r="AF74">
        <v>-2</v>
      </c>
      <c r="AG74">
        <v>-2</v>
      </c>
      <c r="AH74">
        <v>-2</v>
      </c>
      <c r="AI74">
        <f>7770+85+58</f>
        <v>7913</v>
      </c>
      <c r="AJ74">
        <f>1093+45+21</f>
        <v>1159</v>
      </c>
      <c r="AK74">
        <v>-2</v>
      </c>
      <c r="AL74">
        <f t="shared" si="24"/>
        <v>184006</v>
      </c>
      <c r="AM74">
        <f t="shared" si="25"/>
        <v>134272</v>
      </c>
      <c r="AN74">
        <v>1240</v>
      </c>
      <c r="AO74">
        <v>630</v>
      </c>
      <c r="AP74">
        <v>132402</v>
      </c>
      <c r="AQ74">
        <v>-1</v>
      </c>
      <c r="AR74">
        <f t="shared" si="28"/>
        <v>49734</v>
      </c>
      <c r="AS74">
        <f>890+7823+35608+966</f>
        <v>45287</v>
      </c>
      <c r="AT74">
        <f>4015+432</f>
        <v>4447</v>
      </c>
      <c r="AU74">
        <f>11+35</f>
        <v>46</v>
      </c>
      <c r="AV74">
        <f>1034+25496+58285+75986+22751</f>
        <v>183552</v>
      </c>
      <c r="AW74">
        <f>290+37+15+10+12</f>
        <v>364</v>
      </c>
      <c r="AX74">
        <f>4+5+35</f>
        <v>44</v>
      </c>
      <c r="AY74">
        <f t="shared" si="10"/>
        <v>-2</v>
      </c>
      <c r="AZ74">
        <f t="shared" si="11"/>
        <v>-2</v>
      </c>
      <c r="BA74">
        <v>-2</v>
      </c>
      <c r="BB74">
        <v>-2</v>
      </c>
      <c r="BC74">
        <v>-2</v>
      </c>
      <c r="BD74">
        <v>-2</v>
      </c>
      <c r="BE74">
        <f t="shared" si="12"/>
        <v>-2</v>
      </c>
      <c r="BF74">
        <v>-2</v>
      </c>
      <c r="BG74">
        <v>-2</v>
      </c>
      <c r="BH74">
        <v>-2</v>
      </c>
      <c r="BI74">
        <v>-2</v>
      </c>
      <c r="BJ74">
        <v>-2</v>
      </c>
      <c r="BK74">
        <v>-2</v>
      </c>
      <c r="BL74">
        <v>-2</v>
      </c>
      <c r="BM74">
        <v>-2</v>
      </c>
      <c r="BN74">
        <v>-2</v>
      </c>
      <c r="BO74">
        <v>-2</v>
      </c>
      <c r="BP74">
        <v>-2</v>
      </c>
      <c r="BQ74">
        <v>-2</v>
      </c>
      <c r="BR74">
        <v>-2</v>
      </c>
      <c r="BS74">
        <v>-2</v>
      </c>
      <c r="BT74">
        <v>-2</v>
      </c>
    </row>
    <row r="75" spans="1:72" ht="12.75">
      <c r="A75">
        <f t="shared" si="13"/>
        <v>1989</v>
      </c>
      <c r="B75" s="10" t="s">
        <v>120</v>
      </c>
      <c r="C75" s="9" t="s">
        <v>149</v>
      </c>
      <c r="D75">
        <f t="shared" si="26"/>
        <v>3876</v>
      </c>
      <c r="E75">
        <f t="shared" si="3"/>
        <v>2860</v>
      </c>
      <c r="F75">
        <v>25</v>
      </c>
      <c r="G75">
        <v>15</v>
      </c>
      <c r="H75">
        <v>2820</v>
      </c>
      <c r="I75">
        <v>-1</v>
      </c>
      <c r="J75">
        <f t="shared" si="18"/>
        <v>1016</v>
      </c>
      <c r="K75">
        <f>22+212+644+21</f>
        <v>899</v>
      </c>
      <c r="L75">
        <f>110+7</f>
        <v>117</v>
      </c>
      <c r="M75">
        <f t="shared" si="4"/>
        <v>-1</v>
      </c>
      <c r="N75">
        <f t="shared" si="5"/>
        <v>-1</v>
      </c>
      <c r="O75">
        <v>-1</v>
      </c>
      <c r="P75">
        <v>-1</v>
      </c>
      <c r="Q75">
        <v>-1</v>
      </c>
      <c r="R75">
        <v>-1</v>
      </c>
      <c r="S75">
        <f t="shared" si="6"/>
        <v>-1</v>
      </c>
      <c r="T75">
        <v>-1</v>
      </c>
      <c r="U75">
        <v>-1</v>
      </c>
      <c r="V75">
        <f>9044+138+103</f>
        <v>9285</v>
      </c>
      <c r="W75">
        <f>6745+43+44</f>
        <v>6832</v>
      </c>
      <c r="X75">
        <v>-2</v>
      </c>
      <c r="Y75">
        <v>-2</v>
      </c>
      <c r="Z75">
        <v>-2</v>
      </c>
      <c r="AA75">
        <v>-2</v>
      </c>
      <c r="AB75">
        <f t="shared" si="27"/>
        <v>2453</v>
      </c>
      <c r="AC75">
        <v>-2</v>
      </c>
      <c r="AD75">
        <v>-2</v>
      </c>
      <c r="AE75">
        <v>-2</v>
      </c>
      <c r="AF75">
        <v>-2</v>
      </c>
      <c r="AG75">
        <v>-2</v>
      </c>
      <c r="AH75">
        <v>-2</v>
      </c>
      <c r="AI75">
        <f>7867+78+75</f>
        <v>8020</v>
      </c>
      <c r="AJ75">
        <f>1177+60+28</f>
        <v>1265</v>
      </c>
      <c r="AK75">
        <v>-2</v>
      </c>
      <c r="AL75">
        <f t="shared" si="24"/>
        <v>184027</v>
      </c>
      <c r="AM75">
        <f t="shared" si="25"/>
        <v>134155</v>
      </c>
      <c r="AN75">
        <v>1241</v>
      </c>
      <c r="AO75">
        <v>483</v>
      </c>
      <c r="AP75">
        <v>132431</v>
      </c>
      <c r="AQ75">
        <v>-1</v>
      </c>
      <c r="AR75">
        <f t="shared" si="28"/>
        <v>49872</v>
      </c>
      <c r="AS75">
        <f>814+7960+35617+986</f>
        <v>45377</v>
      </c>
      <c r="AT75">
        <f>4079+416</f>
        <v>4495</v>
      </c>
      <c r="AU75">
        <v>50</v>
      </c>
      <c r="AV75">
        <f>983+25827+57413+76923+22383</f>
        <v>183529</v>
      </c>
      <c r="AW75">
        <f>321+52+22+9+10</f>
        <v>414</v>
      </c>
      <c r="AX75">
        <f>10+4+20</f>
        <v>34</v>
      </c>
      <c r="AY75">
        <f t="shared" si="10"/>
        <v>-2</v>
      </c>
      <c r="AZ75">
        <f t="shared" si="11"/>
        <v>-2</v>
      </c>
      <c r="BA75">
        <v>-2</v>
      </c>
      <c r="BB75">
        <v>-2</v>
      </c>
      <c r="BC75">
        <v>-2</v>
      </c>
      <c r="BD75">
        <v>-2</v>
      </c>
      <c r="BE75">
        <f t="shared" si="12"/>
        <v>-2</v>
      </c>
      <c r="BF75">
        <v>-2</v>
      </c>
      <c r="BG75">
        <v>-2</v>
      </c>
      <c r="BH75">
        <v>-2</v>
      </c>
      <c r="BI75">
        <v>-2</v>
      </c>
      <c r="BJ75">
        <v>-2</v>
      </c>
      <c r="BK75">
        <v>-2</v>
      </c>
      <c r="BL75">
        <v>-2</v>
      </c>
      <c r="BM75">
        <v>-2</v>
      </c>
      <c r="BN75">
        <v>-2</v>
      </c>
      <c r="BO75">
        <v>-2</v>
      </c>
      <c r="BP75">
        <v>-2</v>
      </c>
      <c r="BQ75">
        <v>-2</v>
      </c>
      <c r="BR75">
        <v>-2</v>
      </c>
      <c r="BS75">
        <v>-2</v>
      </c>
      <c r="BT75">
        <v>-2</v>
      </c>
    </row>
    <row r="76" spans="1:72" ht="12.75">
      <c r="A76">
        <f t="shared" si="13"/>
        <v>1990</v>
      </c>
      <c r="B76" s="10" t="s">
        <v>120</v>
      </c>
      <c r="C76" s="9" t="s">
        <v>149</v>
      </c>
      <c r="D76">
        <f t="shared" si="26"/>
        <v>3915</v>
      </c>
      <c r="E76">
        <f t="shared" si="3"/>
        <v>2902</v>
      </c>
      <c r="F76">
        <v>25</v>
      </c>
      <c r="G76">
        <v>14</v>
      </c>
      <c r="H76">
        <v>2863</v>
      </c>
      <c r="I76">
        <v>-1</v>
      </c>
      <c r="J76">
        <f t="shared" si="18"/>
        <v>1013</v>
      </c>
      <c r="K76">
        <f>19+213+643+21</f>
        <v>896</v>
      </c>
      <c r="L76">
        <f>110+7</f>
        <v>117</v>
      </c>
      <c r="M76">
        <f t="shared" si="4"/>
        <v>-1</v>
      </c>
      <c r="N76">
        <f t="shared" si="5"/>
        <v>-1</v>
      </c>
      <c r="O76">
        <v>-1</v>
      </c>
      <c r="P76">
        <v>-1</v>
      </c>
      <c r="Q76">
        <v>-1</v>
      </c>
      <c r="R76">
        <v>-1</v>
      </c>
      <c r="S76">
        <f t="shared" si="6"/>
        <v>-1</v>
      </c>
      <c r="T76">
        <v>-1</v>
      </c>
      <c r="U76">
        <v>-1</v>
      </c>
      <c r="V76">
        <f>9329+177+139</f>
        <v>9645</v>
      </c>
      <c r="W76">
        <f>7031+71+89</f>
        <v>7191</v>
      </c>
      <c r="X76">
        <v>-2</v>
      </c>
      <c r="Y76">
        <v>-2</v>
      </c>
      <c r="Z76">
        <v>-2</v>
      </c>
      <c r="AA76">
        <v>-2</v>
      </c>
      <c r="AB76">
        <f t="shared" si="27"/>
        <v>2454</v>
      </c>
      <c r="AC76">
        <v>-2</v>
      </c>
      <c r="AD76">
        <v>-2</v>
      </c>
      <c r="AE76">
        <v>-2</v>
      </c>
      <c r="AF76">
        <v>-2</v>
      </c>
      <c r="AG76">
        <v>-2</v>
      </c>
      <c r="AH76">
        <v>-2</v>
      </c>
      <c r="AI76">
        <f>7941+103+103</f>
        <v>8147</v>
      </c>
      <c r="AJ76">
        <f>1388+74+36</f>
        <v>1498</v>
      </c>
      <c r="AK76">
        <v>-2</v>
      </c>
      <c r="AL76">
        <f t="shared" si="24"/>
        <v>185247</v>
      </c>
      <c r="AM76">
        <f t="shared" si="25"/>
        <v>135068</v>
      </c>
      <c r="AN76">
        <v>1235</v>
      </c>
      <c r="AO76">
        <v>470</v>
      </c>
      <c r="AP76">
        <v>133363</v>
      </c>
      <c r="AQ76">
        <v>-1</v>
      </c>
      <c r="AR76">
        <f t="shared" si="28"/>
        <v>50179</v>
      </c>
      <c r="AS76">
        <f>740+8408+35470+993</f>
        <v>45611</v>
      </c>
      <c r="AT76">
        <f>4123+445</f>
        <v>4568</v>
      </c>
      <c r="AU76">
        <v>47</v>
      </c>
      <c r="AV76">
        <f>899+26146+58545+76515+22671</f>
        <v>184776</v>
      </c>
      <c r="AW76">
        <f>310+34+10+3+5</f>
        <v>362</v>
      </c>
      <c r="AX76">
        <f>5+5+52</f>
        <v>62</v>
      </c>
      <c r="AY76">
        <f t="shared" si="10"/>
        <v>-2</v>
      </c>
      <c r="AZ76">
        <f t="shared" si="11"/>
        <v>-2</v>
      </c>
      <c r="BA76">
        <v>-2</v>
      </c>
      <c r="BB76">
        <v>-2</v>
      </c>
      <c r="BC76">
        <v>-2</v>
      </c>
      <c r="BD76">
        <v>-2</v>
      </c>
      <c r="BE76">
        <f t="shared" si="12"/>
        <v>-2</v>
      </c>
      <c r="BF76">
        <v>-2</v>
      </c>
      <c r="BG76">
        <v>-2</v>
      </c>
      <c r="BH76">
        <v>-2</v>
      </c>
      <c r="BI76">
        <v>-2</v>
      </c>
      <c r="BJ76">
        <v>-2</v>
      </c>
      <c r="BK76">
        <v>-2</v>
      </c>
      <c r="BL76">
        <v>-2</v>
      </c>
      <c r="BM76">
        <v>-2</v>
      </c>
      <c r="BN76">
        <v>-2</v>
      </c>
      <c r="BO76">
        <v>-2</v>
      </c>
      <c r="BP76">
        <v>-2</v>
      </c>
      <c r="BQ76">
        <v>-2</v>
      </c>
      <c r="BR76">
        <v>-2</v>
      </c>
      <c r="BS76">
        <v>-2</v>
      </c>
      <c r="BT76">
        <v>-2</v>
      </c>
    </row>
    <row r="77" spans="1:72" ht="12.75">
      <c r="A77">
        <f t="shared" si="13"/>
        <v>1991</v>
      </c>
      <c r="B77" s="10" t="s">
        <v>120</v>
      </c>
      <c r="C77" s="9" t="s">
        <v>149</v>
      </c>
      <c r="D77">
        <f t="shared" si="26"/>
        <v>3983</v>
      </c>
      <c r="E77">
        <f t="shared" si="3"/>
        <v>2951</v>
      </c>
      <c r="F77">
        <v>25</v>
      </c>
      <c r="G77">
        <v>14</v>
      </c>
      <c r="H77">
        <v>2912</v>
      </c>
      <c r="I77">
        <v>-1</v>
      </c>
      <c r="J77">
        <f t="shared" si="18"/>
        <v>1032</v>
      </c>
      <c r="K77">
        <f>19+223+653+21</f>
        <v>916</v>
      </c>
      <c r="L77">
        <f>109+7</f>
        <v>116</v>
      </c>
      <c r="M77">
        <f t="shared" si="4"/>
        <v>-1</v>
      </c>
      <c r="N77">
        <f t="shared" si="5"/>
        <v>-1</v>
      </c>
      <c r="O77">
        <v>-1</v>
      </c>
      <c r="P77">
        <v>-1</v>
      </c>
      <c r="Q77">
        <v>-1</v>
      </c>
      <c r="R77">
        <v>-1</v>
      </c>
      <c r="S77">
        <f t="shared" si="6"/>
        <v>-1</v>
      </c>
      <c r="T77">
        <v>-1</v>
      </c>
      <c r="U77">
        <v>-1</v>
      </c>
      <c r="V77">
        <f>9634+194+203</f>
        <v>10031</v>
      </c>
      <c r="W77">
        <f>7273+92+134</f>
        <v>7499</v>
      </c>
      <c r="X77">
        <v>-2</v>
      </c>
      <c r="Y77">
        <v>-2</v>
      </c>
      <c r="Z77">
        <v>-2</v>
      </c>
      <c r="AA77">
        <v>-2</v>
      </c>
      <c r="AB77">
        <f t="shared" si="27"/>
        <v>2532</v>
      </c>
      <c r="AC77">
        <v>-2</v>
      </c>
      <c r="AD77">
        <v>-2</v>
      </c>
      <c r="AE77">
        <v>-2</v>
      </c>
      <c r="AF77">
        <v>-2</v>
      </c>
      <c r="AG77">
        <v>-2</v>
      </c>
      <c r="AH77">
        <v>-2</v>
      </c>
      <c r="AI77">
        <f>8105+104+161</f>
        <v>8370</v>
      </c>
      <c r="AJ77">
        <f>1529+90+42</f>
        <v>1661</v>
      </c>
      <c r="AK77">
        <v>-2</v>
      </c>
      <c r="AL77">
        <f t="shared" si="24"/>
        <v>187031</v>
      </c>
      <c r="AM77">
        <f t="shared" si="25"/>
        <v>136357</v>
      </c>
      <c r="AN77">
        <v>1202</v>
      </c>
      <c r="AO77">
        <v>447</v>
      </c>
      <c r="AP77">
        <v>134708</v>
      </c>
      <c r="AQ77">
        <v>-1</v>
      </c>
      <c r="AR77">
        <f t="shared" si="28"/>
        <v>50674</v>
      </c>
      <c r="AS77">
        <f>709+8700+35494+1005</f>
        <v>45908</v>
      </c>
      <c r="AT77">
        <f>4283+483</f>
        <v>4766</v>
      </c>
      <c r="AU77">
        <v>25</v>
      </c>
      <c r="AV77">
        <f>888+26333+59324+77622+22448</f>
        <v>186615</v>
      </c>
      <c r="AW77">
        <f>305+39+16+6+3</f>
        <v>369</v>
      </c>
      <c r="AX77">
        <f>4+2+16</f>
        <v>22</v>
      </c>
      <c r="AY77">
        <f t="shared" si="10"/>
        <v>-2</v>
      </c>
      <c r="AZ77">
        <f t="shared" si="11"/>
        <v>-2</v>
      </c>
      <c r="BA77">
        <v>-2</v>
      </c>
      <c r="BB77">
        <v>-2</v>
      </c>
      <c r="BC77">
        <v>-2</v>
      </c>
      <c r="BD77">
        <v>-2</v>
      </c>
      <c r="BE77">
        <f t="shared" si="12"/>
        <v>-2</v>
      </c>
      <c r="BF77">
        <v>-2</v>
      </c>
      <c r="BG77">
        <v>-2</v>
      </c>
      <c r="BH77">
        <v>-2</v>
      </c>
      <c r="BI77">
        <v>-2</v>
      </c>
      <c r="BJ77">
        <v>-2</v>
      </c>
      <c r="BK77">
        <v>-2</v>
      </c>
      <c r="BL77">
        <v>-2</v>
      </c>
      <c r="BM77">
        <v>-2</v>
      </c>
      <c r="BN77">
        <v>-2</v>
      </c>
      <c r="BO77">
        <v>-2</v>
      </c>
      <c r="BP77">
        <v>-2</v>
      </c>
      <c r="BQ77">
        <v>-2</v>
      </c>
      <c r="BR77">
        <v>-2</v>
      </c>
      <c r="BS77">
        <v>-2</v>
      </c>
      <c r="BT77">
        <v>-2</v>
      </c>
    </row>
    <row r="78" spans="1:72" ht="12.75">
      <c r="A78">
        <f t="shared" si="13"/>
        <v>1992</v>
      </c>
      <c r="B78" s="10" t="s">
        <v>120</v>
      </c>
      <c r="C78" s="9" t="s">
        <v>149</v>
      </c>
      <c r="D78">
        <f t="shared" si="26"/>
        <v>4084</v>
      </c>
      <c r="E78">
        <f aca="true" t="shared" si="29" ref="E78:E86">IF(OR(F78&gt;=0,G78&gt;=0,H78&gt;=0,I78&gt;=0),SUMIF(F78:I78,"&gt;=0",F78:I78),MIN(F78:I78))</f>
        <v>3040</v>
      </c>
      <c r="F78">
        <v>24</v>
      </c>
      <c r="G78">
        <v>16</v>
      </c>
      <c r="H78">
        <v>3000</v>
      </c>
      <c r="I78">
        <v>-1</v>
      </c>
      <c r="J78">
        <f t="shared" si="18"/>
        <v>1044</v>
      </c>
      <c r="K78">
        <f>20+237+648+21</f>
        <v>926</v>
      </c>
      <c r="L78">
        <f>111+7</f>
        <v>118</v>
      </c>
      <c r="M78">
        <f aca="true" t="shared" si="30" ref="M78:M84">IF(OR(N78=-2,S78=-2),-2,IF(OR(N78=-1,S78=-1),MAX(N78,S78),SUM(N78+S78)))</f>
        <v>-1</v>
      </c>
      <c r="N78">
        <f aca="true" t="shared" si="31" ref="N78:N84">IF(OR(O78&gt;=0,P78&gt;=0,Q78&gt;=0,R78&gt;=0),SUMIF(O78:R78,"&gt;=0",O78:R78),MIN(O78:R78))</f>
        <v>-1</v>
      </c>
      <c r="O78">
        <v>-1</v>
      </c>
      <c r="P78">
        <v>-1</v>
      </c>
      <c r="Q78">
        <v>-1</v>
      </c>
      <c r="R78">
        <v>-1</v>
      </c>
      <c r="S78">
        <f aca="true" t="shared" si="32" ref="S78:S84">IF(OR(T78&gt;=0,U78&gt;=0),SUMIF(T78:U78,"&gt;=0",T78:U78),MIN(T78:U78))</f>
        <v>-1</v>
      </c>
      <c r="T78">
        <v>-1</v>
      </c>
      <c r="U78">
        <v>-1</v>
      </c>
      <c r="V78">
        <f>9981+217+222</f>
        <v>10420</v>
      </c>
      <c r="W78">
        <f>7517+83+144</f>
        <v>7744</v>
      </c>
      <c r="X78">
        <v>-2</v>
      </c>
      <c r="Y78">
        <v>-2</v>
      </c>
      <c r="Z78">
        <v>-2</v>
      </c>
      <c r="AA78">
        <v>-2</v>
      </c>
      <c r="AB78">
        <f t="shared" si="27"/>
        <v>2676</v>
      </c>
      <c r="AC78">
        <v>-2</v>
      </c>
      <c r="AD78">
        <v>-2</v>
      </c>
      <c r="AE78">
        <v>-2</v>
      </c>
      <c r="AF78">
        <v>-2</v>
      </c>
      <c r="AG78">
        <v>-2</v>
      </c>
      <c r="AH78">
        <v>-2</v>
      </c>
      <c r="AI78">
        <f>8298+115+182</f>
        <v>8595</v>
      </c>
      <c r="AJ78">
        <f>1683+102+40</f>
        <v>1825</v>
      </c>
      <c r="AK78">
        <v>-2</v>
      </c>
      <c r="AL78">
        <f t="shared" si="24"/>
        <v>192719</v>
      </c>
      <c r="AM78">
        <f t="shared" si="25"/>
        <v>140988</v>
      </c>
      <c r="AN78">
        <v>1239</v>
      </c>
      <c r="AO78">
        <v>472</v>
      </c>
      <c r="AP78">
        <v>139277</v>
      </c>
      <c r="AQ78">
        <v>-1</v>
      </c>
      <c r="AR78">
        <f t="shared" si="28"/>
        <v>51731</v>
      </c>
      <c r="AS78">
        <f>675+9083+36021+985</f>
        <v>46764</v>
      </c>
      <c r="AT78">
        <f>4441+526</f>
        <v>4967</v>
      </c>
      <c r="AU78">
        <f>4+72</f>
        <v>76</v>
      </c>
      <c r="AV78">
        <f>916+26553+61911+78747+24056</f>
        <v>192183</v>
      </c>
      <c r="AW78">
        <f>387+48+20+1+2</f>
        <v>458</v>
      </c>
      <c r="AX78">
        <v>2</v>
      </c>
      <c r="AY78">
        <f aca="true" t="shared" si="33" ref="AY78:AY86">IF(OR(AZ78=-2,BE78=-2),-2,IF(OR(AZ78=-1,BE78=-1),MAX(AZ78,BE78),SUM(AZ78+BE78)))</f>
        <v>-2</v>
      </c>
      <c r="AZ78">
        <f>IF(OR(BA78&gt;=0,BB78&gt;=0,BC78&gt;=0,BD78&gt;=0),SUMIF(BA78:BD78,"&gt;=0",BA78:BD78),MIN(BA78:BD78))</f>
        <v>-2</v>
      </c>
      <c r="BA78">
        <v>-2</v>
      </c>
      <c r="BB78">
        <v>-2</v>
      </c>
      <c r="BC78">
        <v>-2</v>
      </c>
      <c r="BD78">
        <v>-2</v>
      </c>
      <c r="BE78">
        <f aca="true" t="shared" si="34" ref="BE78:BE86">IF(OR(BF78&gt;=0,BG78&gt;=0),SUMIF(BF78:BG78,"&gt;=0",BF78:BG78),MIN(BF78:BG78))</f>
        <v>-2</v>
      </c>
      <c r="BF78">
        <v>-2</v>
      </c>
      <c r="BG78">
        <v>-2</v>
      </c>
      <c r="BH78">
        <v>-2</v>
      </c>
      <c r="BI78">
        <v>-2</v>
      </c>
      <c r="BJ78">
        <v>-2</v>
      </c>
      <c r="BK78">
        <v>-2</v>
      </c>
      <c r="BL78">
        <v>-2</v>
      </c>
      <c r="BM78">
        <v>-2</v>
      </c>
      <c r="BN78">
        <v>-2</v>
      </c>
      <c r="BO78">
        <v>-2</v>
      </c>
      <c r="BP78">
        <v>-2</v>
      </c>
      <c r="BQ78">
        <v>-2</v>
      </c>
      <c r="BR78">
        <v>-2</v>
      </c>
      <c r="BS78">
        <v>-2</v>
      </c>
      <c r="BT78">
        <v>-2</v>
      </c>
    </row>
    <row r="79" spans="1:72" ht="12.75">
      <c r="A79">
        <f aca="true" t="shared" si="35" ref="A79:A86">A78+1</f>
        <v>1993</v>
      </c>
      <c r="B79" s="10" t="s">
        <v>120</v>
      </c>
      <c r="C79" s="9" t="s">
        <v>149</v>
      </c>
      <c r="D79">
        <f t="shared" si="26"/>
        <v>4212</v>
      </c>
      <c r="E79">
        <f t="shared" si="29"/>
        <v>3104</v>
      </c>
      <c r="F79">
        <v>25</v>
      </c>
      <c r="G79">
        <v>14</v>
      </c>
      <c r="H79">
        <v>3065</v>
      </c>
      <c r="I79">
        <v>-1</v>
      </c>
      <c r="J79">
        <f t="shared" si="18"/>
        <v>1108</v>
      </c>
      <c r="K79">
        <f>21+279+651+22</f>
        <v>973</v>
      </c>
      <c r="L79">
        <f>128+7</f>
        <v>135</v>
      </c>
      <c r="M79">
        <f t="shared" si="30"/>
        <v>-1</v>
      </c>
      <c r="N79">
        <f t="shared" si="31"/>
        <v>-1</v>
      </c>
      <c r="O79">
        <v>-1</v>
      </c>
      <c r="P79">
        <v>-1</v>
      </c>
      <c r="Q79">
        <v>-1</v>
      </c>
      <c r="R79">
        <v>-1</v>
      </c>
      <c r="S79">
        <f t="shared" si="32"/>
        <v>-1</v>
      </c>
      <c r="T79">
        <v>-1</v>
      </c>
      <c r="U79">
        <v>-1</v>
      </c>
      <c r="V79">
        <f>10305+360+246</f>
        <v>10911</v>
      </c>
      <c r="W79">
        <f>7753+189+174</f>
        <v>8116</v>
      </c>
      <c r="X79">
        <v>-2</v>
      </c>
      <c r="Y79">
        <v>-2</v>
      </c>
      <c r="Z79">
        <v>-2</v>
      </c>
      <c r="AA79">
        <v>-2</v>
      </c>
      <c r="AB79">
        <f t="shared" si="27"/>
        <v>2795</v>
      </c>
      <c r="AC79">
        <v>-2</v>
      </c>
      <c r="AD79">
        <v>-2</v>
      </c>
      <c r="AE79">
        <v>-2</v>
      </c>
      <c r="AF79">
        <v>-2</v>
      </c>
      <c r="AG79">
        <v>-2</v>
      </c>
      <c r="AH79">
        <v>-2</v>
      </c>
      <c r="AI79">
        <f>8464+243+199</f>
        <v>8906</v>
      </c>
      <c r="AJ79">
        <f>1841+117+47</f>
        <v>2005</v>
      </c>
      <c r="AK79">
        <v>-2</v>
      </c>
      <c r="AL79">
        <f t="shared" si="24"/>
        <v>199928</v>
      </c>
      <c r="AM79">
        <f t="shared" si="25"/>
        <v>145930</v>
      </c>
      <c r="AN79">
        <v>1254</v>
      </c>
      <c r="AO79">
        <v>478</v>
      </c>
      <c r="AP79">
        <v>144198</v>
      </c>
      <c r="AQ79">
        <v>-1</v>
      </c>
      <c r="AR79">
        <f t="shared" si="28"/>
        <v>53998</v>
      </c>
      <c r="AS79">
        <f>652+9926+36677+998</f>
        <v>48253</v>
      </c>
      <c r="AT79">
        <f>5176+569</f>
        <v>5745</v>
      </c>
      <c r="AU79">
        <v>32</v>
      </c>
      <c r="AV79">
        <f>5268+34690+67984+71273+19941</f>
        <v>199156</v>
      </c>
      <c r="AW79">
        <f>332+25+23+3+1</f>
        <v>384</v>
      </c>
      <c r="AX79">
        <v>356</v>
      </c>
      <c r="AY79">
        <f t="shared" si="33"/>
        <v>-2</v>
      </c>
      <c r="AZ79">
        <f aca="true" t="shared" si="36" ref="AZ79:AZ84">IF(OR(BA79&gt;0,BB79&gt;0,BC79&gt;0,BD79&gt;0),SUMIF(BA79:BD79,"&gt;=0",BA79:BD79),MIN(BA79:BD79))</f>
        <v>8901049983</v>
      </c>
      <c r="BA79">
        <v>-1</v>
      </c>
      <c r="BB79">
        <v>4708783983</v>
      </c>
      <c r="BC79">
        <v>4192266000</v>
      </c>
      <c r="BD79">
        <v>-2</v>
      </c>
      <c r="BE79">
        <f t="shared" si="34"/>
        <v>-2</v>
      </c>
      <c r="BF79">
        <v>-2</v>
      </c>
      <c r="BG79">
        <v>-2</v>
      </c>
      <c r="BH79">
        <v>-2</v>
      </c>
      <c r="BI79">
        <v>-2</v>
      </c>
      <c r="BJ79">
        <v>-2</v>
      </c>
      <c r="BK79">
        <v>-2</v>
      </c>
      <c r="BL79">
        <v>-2</v>
      </c>
      <c r="BM79">
        <v>-2</v>
      </c>
      <c r="BN79">
        <v>-2</v>
      </c>
      <c r="BO79">
        <v>-2</v>
      </c>
      <c r="BP79">
        <v>-2</v>
      </c>
      <c r="BQ79">
        <v>-2</v>
      </c>
      <c r="BR79">
        <v>-2</v>
      </c>
      <c r="BS79">
        <v>-2</v>
      </c>
      <c r="BT79">
        <v>-2</v>
      </c>
    </row>
    <row r="80" spans="1:72" ht="12.75">
      <c r="A80">
        <f t="shared" si="35"/>
        <v>1994</v>
      </c>
      <c r="B80" s="10" t="s">
        <v>120</v>
      </c>
      <c r="C80" s="9" t="s">
        <v>149</v>
      </c>
      <c r="D80">
        <f t="shared" si="26"/>
        <v>4308</v>
      </c>
      <c r="E80">
        <f t="shared" si="29"/>
        <v>3180</v>
      </c>
      <c r="F80">
        <v>25</v>
      </c>
      <c r="G80">
        <v>15</v>
      </c>
      <c r="H80">
        <v>3140</v>
      </c>
      <c r="I80">
        <v>-1</v>
      </c>
      <c r="J80">
        <f t="shared" si="18"/>
        <v>1128</v>
      </c>
      <c r="K80">
        <f>17+293+657+22</f>
        <v>989</v>
      </c>
      <c r="L80">
        <f>130+9</f>
        <v>139</v>
      </c>
      <c r="M80">
        <f t="shared" si="30"/>
        <v>-1</v>
      </c>
      <c r="N80">
        <f t="shared" si="31"/>
        <v>-1</v>
      </c>
      <c r="O80">
        <v>-1</v>
      </c>
      <c r="P80">
        <v>-1</v>
      </c>
      <c r="Q80">
        <v>-1</v>
      </c>
      <c r="R80">
        <v>-1</v>
      </c>
      <c r="S80">
        <f t="shared" si="32"/>
        <v>-1</v>
      </c>
      <c r="T80">
        <v>-1</v>
      </c>
      <c r="U80">
        <v>-1</v>
      </c>
      <c r="V80">
        <f>10830+417+311</f>
        <v>11558</v>
      </c>
      <c r="W80">
        <f>8192+201+229</f>
        <v>8622</v>
      </c>
      <c r="X80">
        <v>-2</v>
      </c>
      <c r="Y80">
        <v>-2</v>
      </c>
      <c r="Z80">
        <v>-2</v>
      </c>
      <c r="AA80">
        <v>-2</v>
      </c>
      <c r="AB80">
        <f t="shared" si="27"/>
        <v>2936</v>
      </c>
      <c r="AC80">
        <v>-2</v>
      </c>
      <c r="AD80">
        <v>-2</v>
      </c>
      <c r="AE80">
        <v>-2</v>
      </c>
      <c r="AF80">
        <v>-2</v>
      </c>
      <c r="AG80">
        <v>-2</v>
      </c>
      <c r="AH80">
        <v>-2</v>
      </c>
      <c r="AI80">
        <f>8778+274+256</f>
        <v>9308</v>
      </c>
      <c r="AJ80">
        <f>2052+143+55</f>
        <v>2250</v>
      </c>
      <c r="AK80">
        <v>-2</v>
      </c>
      <c r="AL80">
        <f t="shared" si="24"/>
        <v>205831</v>
      </c>
      <c r="AM80">
        <f t="shared" si="25"/>
        <v>151318</v>
      </c>
      <c r="AN80">
        <v>1242</v>
      </c>
      <c r="AO80">
        <v>498</v>
      </c>
      <c r="AP80">
        <v>149578</v>
      </c>
      <c r="AQ80">
        <v>-1</v>
      </c>
      <c r="AR80">
        <f t="shared" si="28"/>
        <v>54513</v>
      </c>
      <c r="AS80">
        <f>542+10532+36808+980</f>
        <v>48862</v>
      </c>
      <c r="AT80">
        <f>5022+629</f>
        <v>5651</v>
      </c>
      <c r="AU80">
        <f>37+61+292</f>
        <v>390</v>
      </c>
      <c r="AV80">
        <f>839+28976+66118+83180+25991+135</f>
        <v>205239</v>
      </c>
      <c r="AW80">
        <f>162+32+7+1</f>
        <v>202</v>
      </c>
      <c r="AX80">
        <v>-1</v>
      </c>
      <c r="AY80">
        <f t="shared" si="33"/>
        <v>-2</v>
      </c>
      <c r="AZ80">
        <f t="shared" si="36"/>
        <v>9625870917</v>
      </c>
      <c r="BA80">
        <v>-1</v>
      </c>
      <c r="BB80">
        <v>5079236917</v>
      </c>
      <c r="BC80">
        <v>4546634000</v>
      </c>
      <c r="BD80">
        <v>-2</v>
      </c>
      <c r="BE80">
        <f t="shared" si="34"/>
        <v>-2</v>
      </c>
      <c r="BF80">
        <v>-2</v>
      </c>
      <c r="BG80">
        <v>-2</v>
      </c>
      <c r="BH80">
        <v>-2</v>
      </c>
      <c r="BI80">
        <v>-2</v>
      </c>
      <c r="BJ80">
        <v>-2</v>
      </c>
      <c r="BK80">
        <v>-2</v>
      </c>
      <c r="BL80">
        <v>-2</v>
      </c>
      <c r="BM80">
        <v>-2</v>
      </c>
      <c r="BN80">
        <v>-2</v>
      </c>
      <c r="BO80">
        <v>-2</v>
      </c>
      <c r="BP80">
        <v>-2</v>
      </c>
      <c r="BQ80">
        <v>-2</v>
      </c>
      <c r="BR80">
        <v>-2</v>
      </c>
      <c r="BS80">
        <v>-2</v>
      </c>
      <c r="BT80">
        <v>-2</v>
      </c>
    </row>
    <row r="81" spans="1:72" ht="12.75">
      <c r="A81">
        <f t="shared" si="35"/>
        <v>1995</v>
      </c>
      <c r="B81" s="10" t="s">
        <v>120</v>
      </c>
      <c r="C81" s="9" t="s">
        <v>149</v>
      </c>
      <c r="D81">
        <f t="shared" si="26"/>
        <v>4378</v>
      </c>
      <c r="E81">
        <f t="shared" si="29"/>
        <v>3231</v>
      </c>
      <c r="F81">
        <v>24</v>
      </c>
      <c r="G81">
        <v>14</v>
      </c>
      <c r="H81">
        <v>3193</v>
      </c>
      <c r="I81">
        <v>-1</v>
      </c>
      <c r="J81">
        <f t="shared" si="18"/>
        <v>1147</v>
      </c>
      <c r="K81">
        <f>16+323+655+21</f>
        <v>1015</v>
      </c>
      <c r="L81">
        <f>121+11</f>
        <v>132</v>
      </c>
      <c r="M81">
        <f t="shared" si="30"/>
        <v>-1</v>
      </c>
      <c r="N81">
        <f t="shared" si="31"/>
        <v>-1</v>
      </c>
      <c r="O81">
        <v>-1</v>
      </c>
      <c r="P81">
        <v>-1</v>
      </c>
      <c r="Q81">
        <v>-1</v>
      </c>
      <c r="R81">
        <v>-1</v>
      </c>
      <c r="S81">
        <f t="shared" si="32"/>
        <v>-1</v>
      </c>
      <c r="T81">
        <v>-1</v>
      </c>
      <c r="U81">
        <v>-1</v>
      </c>
      <c r="V81">
        <f>11099+395+247</f>
        <v>11741</v>
      </c>
      <c r="W81">
        <f>8333+177+182</f>
        <v>8692</v>
      </c>
      <c r="X81">
        <v>-2</v>
      </c>
      <c r="Y81">
        <v>-2</v>
      </c>
      <c r="Z81">
        <v>-2</v>
      </c>
      <c r="AA81">
        <v>-2</v>
      </c>
      <c r="AB81">
        <f t="shared" si="27"/>
        <v>3049</v>
      </c>
      <c r="AC81">
        <v>-2</v>
      </c>
      <c r="AD81">
        <v>-2</v>
      </c>
      <c r="AE81">
        <v>-2</v>
      </c>
      <c r="AF81">
        <v>-2</v>
      </c>
      <c r="AG81">
        <v>-2</v>
      </c>
      <c r="AH81">
        <v>-2</v>
      </c>
      <c r="AI81">
        <f>8869+252+218</f>
        <v>9339</v>
      </c>
      <c r="AJ81">
        <f>2230+143+29</f>
        <v>2402</v>
      </c>
      <c r="AK81">
        <v>-2</v>
      </c>
      <c r="AL81">
        <f t="shared" si="24"/>
        <v>210940</v>
      </c>
      <c r="AM81">
        <f t="shared" si="25"/>
        <v>155718</v>
      </c>
      <c r="AN81">
        <v>1192</v>
      </c>
      <c r="AO81">
        <v>501</v>
      </c>
      <c r="AP81">
        <v>154025</v>
      </c>
      <c r="AQ81">
        <v>-1</v>
      </c>
      <c r="AR81">
        <f t="shared" si="28"/>
        <v>55222</v>
      </c>
      <c r="AS81">
        <f>489+11378+36867+951</f>
        <v>49685</v>
      </c>
      <c r="AT81">
        <f>4776+761</f>
        <v>5537</v>
      </c>
      <c r="AU81">
        <f>20+53+338</f>
        <v>411</v>
      </c>
      <c r="AV81">
        <f>754+29419+69199+84856+25960+163</f>
        <v>210351</v>
      </c>
      <c r="AW81">
        <f>143+31+4</f>
        <v>178</v>
      </c>
      <c r="AX81">
        <v>-1</v>
      </c>
      <c r="AY81">
        <f t="shared" si="33"/>
        <v>-2</v>
      </c>
      <c r="AZ81">
        <f t="shared" si="36"/>
        <v>9931070000</v>
      </c>
      <c r="BA81">
        <v>-1</v>
      </c>
      <c r="BB81">
        <v>5431070000</v>
      </c>
      <c r="BC81">
        <v>4500000000</v>
      </c>
      <c r="BD81">
        <v>-2</v>
      </c>
      <c r="BE81">
        <f t="shared" si="34"/>
        <v>-2</v>
      </c>
      <c r="BF81">
        <v>-2</v>
      </c>
      <c r="BG81">
        <v>-2</v>
      </c>
      <c r="BH81">
        <v>-2</v>
      </c>
      <c r="BI81">
        <v>-2</v>
      </c>
      <c r="BJ81">
        <v>-2</v>
      </c>
      <c r="BK81">
        <v>-2</v>
      </c>
      <c r="BL81">
        <v>-2</v>
      </c>
      <c r="BM81">
        <v>-2</v>
      </c>
      <c r="BN81">
        <v>-2</v>
      </c>
      <c r="BO81">
        <v>-2</v>
      </c>
      <c r="BP81">
        <v>-2</v>
      </c>
      <c r="BQ81">
        <v>-2</v>
      </c>
      <c r="BR81">
        <v>-2</v>
      </c>
      <c r="BS81">
        <v>-2</v>
      </c>
      <c r="BT81">
        <v>-2</v>
      </c>
    </row>
    <row r="82" spans="1:72" ht="12.75">
      <c r="A82">
        <f t="shared" si="35"/>
        <v>1996</v>
      </c>
      <c r="B82" s="10" t="s">
        <v>120</v>
      </c>
      <c r="C82" s="9" t="s">
        <v>149</v>
      </c>
      <c r="D82">
        <f t="shared" si="26"/>
        <v>4467</v>
      </c>
      <c r="E82">
        <f t="shared" si="29"/>
        <v>3282</v>
      </c>
      <c r="F82">
        <v>24</v>
      </c>
      <c r="G82">
        <v>14</v>
      </c>
      <c r="H82">
        <v>3244</v>
      </c>
      <c r="I82">
        <v>-1</v>
      </c>
      <c r="J82">
        <f t="shared" si="18"/>
        <v>1185</v>
      </c>
      <c r="K82">
        <f>17+358+644+21</f>
        <v>1040</v>
      </c>
      <c r="L82">
        <f>133+12</f>
        <v>145</v>
      </c>
      <c r="M82">
        <f t="shared" si="30"/>
        <v>-1</v>
      </c>
      <c r="N82">
        <f t="shared" si="31"/>
        <v>-1</v>
      </c>
      <c r="O82">
        <v>-1</v>
      </c>
      <c r="P82">
        <v>-1</v>
      </c>
      <c r="Q82">
        <v>-1</v>
      </c>
      <c r="R82">
        <v>-1</v>
      </c>
      <c r="S82">
        <f t="shared" si="32"/>
        <v>-1</v>
      </c>
      <c r="T82">
        <v>-1</v>
      </c>
      <c r="U82">
        <v>-1</v>
      </c>
      <c r="V82">
        <f>9134+2469+255+183+162+42</f>
        <v>12245</v>
      </c>
      <c r="W82">
        <f>6994+1787+112+56+129+15</f>
        <v>9093</v>
      </c>
      <c r="X82">
        <v>-2</v>
      </c>
      <c r="Y82">
        <v>-2</v>
      </c>
      <c r="Z82">
        <v>-2</v>
      </c>
      <c r="AA82">
        <v>-2</v>
      </c>
      <c r="AB82">
        <f t="shared" si="27"/>
        <v>3152</v>
      </c>
      <c r="AC82">
        <v>-2</v>
      </c>
      <c r="AD82">
        <v>-2</v>
      </c>
      <c r="AE82">
        <v>-2</v>
      </c>
      <c r="AF82">
        <v>-2</v>
      </c>
      <c r="AG82">
        <v>-2</v>
      </c>
      <c r="AH82">
        <v>-2</v>
      </c>
      <c r="AI82">
        <f>9134+255+162</f>
        <v>9551</v>
      </c>
      <c r="AJ82">
        <f>2469+183+42</f>
        <v>2694</v>
      </c>
      <c r="AK82">
        <v>-2</v>
      </c>
      <c r="AL82">
        <f t="shared" si="24"/>
        <v>215820</v>
      </c>
      <c r="AM82">
        <f t="shared" si="25"/>
        <v>159470</v>
      </c>
      <c r="AN82">
        <v>1198</v>
      </c>
      <c r="AO82">
        <v>505</v>
      </c>
      <c r="AP82">
        <v>157767</v>
      </c>
      <c r="AQ82">
        <v>-1</v>
      </c>
      <c r="AR82">
        <f t="shared" si="28"/>
        <v>56350</v>
      </c>
      <c r="AS82">
        <f>484+12466+36702+986</f>
        <v>50638</v>
      </c>
      <c r="AT82">
        <f>4860+852</f>
        <v>5712</v>
      </c>
      <c r="AU82">
        <f>37+5+255</f>
        <v>297</v>
      </c>
      <c r="AV82">
        <f>886+25233+4997+50317+18895+59540+27900+2700+24733+225</f>
        <v>215426</v>
      </c>
      <c r="AW82">
        <f>66+31</f>
        <v>97</v>
      </c>
      <c r="AX82">
        <v>-1</v>
      </c>
      <c r="AY82">
        <f t="shared" si="33"/>
        <v>-2</v>
      </c>
      <c r="AZ82">
        <f t="shared" si="36"/>
        <v>10310331000</v>
      </c>
      <c r="BA82">
        <v>-1</v>
      </c>
      <c r="BB82">
        <v>5810331000</v>
      </c>
      <c r="BC82">
        <v>4500000000</v>
      </c>
      <c r="BD82">
        <v>-2</v>
      </c>
      <c r="BE82">
        <f t="shared" si="34"/>
        <v>-2</v>
      </c>
      <c r="BF82">
        <v>-2</v>
      </c>
      <c r="BG82">
        <v>-2</v>
      </c>
      <c r="BH82">
        <v>-2</v>
      </c>
      <c r="BI82">
        <v>-2</v>
      </c>
      <c r="BJ82">
        <v>-2</v>
      </c>
      <c r="BK82">
        <v>-2</v>
      </c>
      <c r="BL82">
        <v>-2</v>
      </c>
      <c r="BM82">
        <v>-2</v>
      </c>
      <c r="BN82">
        <v>-2</v>
      </c>
      <c r="BO82">
        <v>-2</v>
      </c>
      <c r="BP82">
        <v>-2</v>
      </c>
      <c r="BQ82">
        <v>-2</v>
      </c>
      <c r="BR82">
        <v>-2</v>
      </c>
      <c r="BS82">
        <v>-2</v>
      </c>
      <c r="BT82">
        <v>-2</v>
      </c>
    </row>
    <row r="83" spans="1:72" ht="12.75">
      <c r="A83">
        <f t="shared" si="35"/>
        <v>1997</v>
      </c>
      <c r="B83" s="10" t="s">
        <v>120</v>
      </c>
      <c r="C83" s="9" t="s">
        <v>149</v>
      </c>
      <c r="D83">
        <f t="shared" si="26"/>
        <v>-2</v>
      </c>
      <c r="E83">
        <f t="shared" si="29"/>
        <v>-2</v>
      </c>
      <c r="F83">
        <v>-2</v>
      </c>
      <c r="G83">
        <v>-2</v>
      </c>
      <c r="H83">
        <v>-2</v>
      </c>
      <c r="I83">
        <v>-2</v>
      </c>
      <c r="J83">
        <f t="shared" si="18"/>
        <v>-2</v>
      </c>
      <c r="K83">
        <v>-2</v>
      </c>
      <c r="L83">
        <v>-2</v>
      </c>
      <c r="M83">
        <f t="shared" si="30"/>
        <v>-1</v>
      </c>
      <c r="N83">
        <f t="shared" si="31"/>
        <v>-1</v>
      </c>
      <c r="O83">
        <v>-1</v>
      </c>
      <c r="P83">
        <v>-1</v>
      </c>
      <c r="Q83">
        <v>-1</v>
      </c>
      <c r="R83">
        <v>-1</v>
      </c>
      <c r="S83">
        <f t="shared" si="32"/>
        <v>-1</v>
      </c>
      <c r="T83">
        <v>-1</v>
      </c>
      <c r="U83">
        <v>-1</v>
      </c>
      <c r="V83">
        <v>-2</v>
      </c>
      <c r="W83">
        <v>-2</v>
      </c>
      <c r="X83">
        <v>-2</v>
      </c>
      <c r="Y83">
        <v>-2</v>
      </c>
      <c r="Z83">
        <v>-2</v>
      </c>
      <c r="AA83">
        <v>-2</v>
      </c>
      <c r="AB83">
        <v>-2</v>
      </c>
      <c r="AC83">
        <v>-2</v>
      </c>
      <c r="AD83">
        <v>-2</v>
      </c>
      <c r="AE83">
        <v>-2</v>
      </c>
      <c r="AF83">
        <v>-2</v>
      </c>
      <c r="AG83">
        <v>-2</v>
      </c>
      <c r="AH83">
        <v>-2</v>
      </c>
      <c r="AI83">
        <v>-2</v>
      </c>
      <c r="AJ83">
        <v>-2</v>
      </c>
      <c r="AK83">
        <v>-2</v>
      </c>
      <c r="AL83">
        <f t="shared" si="24"/>
        <v>-2</v>
      </c>
      <c r="AM83">
        <f t="shared" si="25"/>
        <v>-2</v>
      </c>
      <c r="AN83">
        <v>-2</v>
      </c>
      <c r="AO83">
        <v>-2</v>
      </c>
      <c r="AP83">
        <v>-2</v>
      </c>
      <c r="AQ83">
        <v>-2</v>
      </c>
      <c r="AR83">
        <f t="shared" si="28"/>
        <v>-2</v>
      </c>
      <c r="AS83">
        <v>-2</v>
      </c>
      <c r="AT83">
        <v>-2</v>
      </c>
      <c r="AU83">
        <v>-2</v>
      </c>
      <c r="AV83">
        <v>-2</v>
      </c>
      <c r="AW83">
        <v>-2</v>
      </c>
      <c r="AX83">
        <v>-2</v>
      </c>
      <c r="AY83">
        <f t="shared" si="33"/>
        <v>-2</v>
      </c>
      <c r="AZ83">
        <f t="shared" si="36"/>
        <v>-2</v>
      </c>
      <c r="BA83">
        <v>-2</v>
      </c>
      <c r="BB83">
        <v>-2</v>
      </c>
      <c r="BC83">
        <v>-2</v>
      </c>
      <c r="BD83">
        <v>-2</v>
      </c>
      <c r="BE83">
        <f t="shared" si="34"/>
        <v>-2</v>
      </c>
      <c r="BF83">
        <v>-2</v>
      </c>
      <c r="BG83">
        <v>-2</v>
      </c>
      <c r="BH83">
        <v>-2</v>
      </c>
      <c r="BI83">
        <v>-2</v>
      </c>
      <c r="BJ83">
        <v>-2</v>
      </c>
      <c r="BK83">
        <v>-2</v>
      </c>
      <c r="BL83">
        <v>-2</v>
      </c>
      <c r="BM83">
        <v>-2</v>
      </c>
      <c r="BN83">
        <v>-2</v>
      </c>
      <c r="BO83">
        <v>-2</v>
      </c>
      <c r="BP83">
        <v>-2</v>
      </c>
      <c r="BQ83">
        <v>-2</v>
      </c>
      <c r="BR83">
        <v>-2</v>
      </c>
      <c r="BS83">
        <v>-2</v>
      </c>
      <c r="BT83">
        <v>-2</v>
      </c>
    </row>
    <row r="84" spans="1:72" ht="12.75">
      <c r="A84">
        <f t="shared" si="35"/>
        <v>1998</v>
      </c>
      <c r="B84" s="10" t="s">
        <v>120</v>
      </c>
      <c r="C84" s="9" t="s">
        <v>149</v>
      </c>
      <c r="D84">
        <f t="shared" si="26"/>
        <v>-2</v>
      </c>
      <c r="E84">
        <f t="shared" si="29"/>
        <v>-2</v>
      </c>
      <c r="F84">
        <v>-2</v>
      </c>
      <c r="G84">
        <v>-2</v>
      </c>
      <c r="H84">
        <v>-2</v>
      </c>
      <c r="I84">
        <v>-2</v>
      </c>
      <c r="J84">
        <f t="shared" si="18"/>
        <v>-2</v>
      </c>
      <c r="K84">
        <v>-2</v>
      </c>
      <c r="L84">
        <v>-2</v>
      </c>
      <c r="M84">
        <f t="shared" si="30"/>
        <v>-1</v>
      </c>
      <c r="N84">
        <f t="shared" si="31"/>
        <v>-1</v>
      </c>
      <c r="O84">
        <v>-1</v>
      </c>
      <c r="P84">
        <v>-1</v>
      </c>
      <c r="Q84">
        <v>-1</v>
      </c>
      <c r="R84">
        <v>-1</v>
      </c>
      <c r="S84">
        <f t="shared" si="32"/>
        <v>-1</v>
      </c>
      <c r="T84">
        <v>-1</v>
      </c>
      <c r="U84">
        <v>-1</v>
      </c>
      <c r="V84">
        <v>-2</v>
      </c>
      <c r="W84">
        <v>-2</v>
      </c>
      <c r="X84">
        <v>-2</v>
      </c>
      <c r="Y84">
        <v>-2</v>
      </c>
      <c r="Z84">
        <v>-2</v>
      </c>
      <c r="AA84">
        <v>-2</v>
      </c>
      <c r="AB84">
        <v>-2</v>
      </c>
      <c r="AC84">
        <v>-2</v>
      </c>
      <c r="AD84">
        <v>-2</v>
      </c>
      <c r="AE84">
        <v>-2</v>
      </c>
      <c r="AF84">
        <v>-2</v>
      </c>
      <c r="AG84">
        <v>-2</v>
      </c>
      <c r="AH84">
        <v>-2</v>
      </c>
      <c r="AI84">
        <v>-2</v>
      </c>
      <c r="AJ84">
        <v>-2</v>
      </c>
      <c r="AK84">
        <v>-2</v>
      </c>
      <c r="AL84">
        <f t="shared" si="24"/>
        <v>-2</v>
      </c>
      <c r="AM84">
        <f t="shared" si="25"/>
        <v>-2</v>
      </c>
      <c r="AN84">
        <v>-2</v>
      </c>
      <c r="AO84">
        <v>-2</v>
      </c>
      <c r="AP84">
        <v>-2</v>
      </c>
      <c r="AQ84">
        <v>-2</v>
      </c>
      <c r="AR84">
        <f t="shared" si="28"/>
        <v>-2</v>
      </c>
      <c r="AS84">
        <v>-2</v>
      </c>
      <c r="AT84">
        <v>-2</v>
      </c>
      <c r="AU84">
        <v>-2</v>
      </c>
      <c r="AV84">
        <v>-2</v>
      </c>
      <c r="AW84">
        <v>-2</v>
      </c>
      <c r="AX84">
        <v>-2</v>
      </c>
      <c r="AY84">
        <f t="shared" si="33"/>
        <v>-2</v>
      </c>
      <c r="AZ84">
        <f t="shared" si="36"/>
        <v>-2</v>
      </c>
      <c r="BA84">
        <v>-2</v>
      </c>
      <c r="BB84">
        <v>-2</v>
      </c>
      <c r="BC84">
        <v>-2</v>
      </c>
      <c r="BD84">
        <v>-2</v>
      </c>
      <c r="BE84">
        <f t="shared" si="34"/>
        <v>-2</v>
      </c>
      <c r="BF84">
        <v>-2</v>
      </c>
      <c r="BG84">
        <v>-2</v>
      </c>
      <c r="BH84">
        <v>-2</v>
      </c>
      <c r="BI84">
        <v>-2</v>
      </c>
      <c r="BJ84">
        <v>-2</v>
      </c>
      <c r="BK84">
        <v>-2</v>
      </c>
      <c r="BL84">
        <v>-2</v>
      </c>
      <c r="BM84">
        <v>-2</v>
      </c>
      <c r="BN84">
        <v>-2</v>
      </c>
      <c r="BO84">
        <v>-2</v>
      </c>
      <c r="BP84">
        <v>-2</v>
      </c>
      <c r="BQ84">
        <v>-2</v>
      </c>
      <c r="BR84">
        <v>-2</v>
      </c>
      <c r="BS84">
        <v>-2</v>
      </c>
      <c r="BT84">
        <v>-2</v>
      </c>
    </row>
    <row r="85" spans="1:72" ht="12.75">
      <c r="A85">
        <f t="shared" si="35"/>
        <v>1999</v>
      </c>
      <c r="B85" s="10" t="s">
        <v>120</v>
      </c>
      <c r="C85" s="9" t="s">
        <v>149</v>
      </c>
      <c r="D85">
        <v>0</v>
      </c>
      <c r="E85">
        <f t="shared" si="29"/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f t="shared" si="33"/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f t="shared" si="34"/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</row>
    <row r="86" spans="1:72" ht="12.75">
      <c r="A86">
        <f t="shared" si="35"/>
        <v>2000</v>
      </c>
      <c r="B86" s="10" t="s">
        <v>120</v>
      </c>
      <c r="C86" s="9" t="s">
        <v>149</v>
      </c>
      <c r="D86">
        <v>0</v>
      </c>
      <c r="E86">
        <f t="shared" si="29"/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f t="shared" si="33"/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f t="shared" si="34"/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</row>
  </sheetData>
  <printOptions gridLines="1"/>
  <pageMargins left="0.7874015748031497" right="0.7874015748031497" top="0.984251968503937" bottom="0.984251968503937" header="0.5118110236220472" footer="0.5118110236220472"/>
  <pageSetup cellComments="atEnd" horizontalDpi="600" verticalDpi="600" orientation="landscape" paperSize="9" r:id="rId3"/>
  <headerFooter alignWithMargins="0">
    <oddHeader>&amp;LMM
&amp;D
g:\family\database\concept\tabsdvar\&amp;F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U86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7" sqref="B7"/>
    </sheetView>
  </sheetViews>
  <sheetFormatPr defaultColWidth="11.421875" defaultRowHeight="12.75"/>
  <sheetData>
    <row r="1" ht="15.75">
      <c r="A1" s="5" t="s">
        <v>141</v>
      </c>
    </row>
    <row r="2" spans="1:16" ht="15">
      <c r="A2" s="7" t="s">
        <v>140</v>
      </c>
      <c r="D2" s="4"/>
      <c r="P2" s="2"/>
    </row>
    <row r="3" spans="1:16" ht="15">
      <c r="A3" s="15" t="s">
        <v>142</v>
      </c>
      <c r="D3" s="1"/>
      <c r="J3" s="11"/>
      <c r="P3" s="11"/>
    </row>
    <row r="4" spans="1:4" ht="12.75">
      <c r="A4" s="14" t="s">
        <v>143</v>
      </c>
      <c r="D4" s="3"/>
    </row>
    <row r="5" spans="1:16" ht="15">
      <c r="A5" s="8"/>
      <c r="D5" s="4" t="s">
        <v>132</v>
      </c>
      <c r="P5" s="2" t="s">
        <v>144</v>
      </c>
    </row>
    <row r="6" spans="1:16" ht="12.75">
      <c r="A6" s="8"/>
      <c r="D6" s="1" t="s">
        <v>169</v>
      </c>
      <c r="J6" s="11" t="s">
        <v>170</v>
      </c>
      <c r="P6" s="11" t="s">
        <v>145</v>
      </c>
    </row>
    <row r="7" spans="1:21" ht="12.75">
      <c r="A7" s="8"/>
      <c r="D7" s="3" t="s">
        <v>3</v>
      </c>
      <c r="E7" t="s">
        <v>157</v>
      </c>
      <c r="F7" t="s">
        <v>159</v>
      </c>
      <c r="G7" t="s">
        <v>161</v>
      </c>
      <c r="H7" t="s">
        <v>162</v>
      </c>
      <c r="I7" t="s">
        <v>163</v>
      </c>
      <c r="J7" s="3" t="s">
        <v>3</v>
      </c>
      <c r="K7" t="s">
        <v>164</v>
      </c>
      <c r="L7" t="s">
        <v>165</v>
      </c>
      <c r="M7" t="s">
        <v>166</v>
      </c>
      <c r="N7" t="s">
        <v>167</v>
      </c>
      <c r="O7" t="s">
        <v>168</v>
      </c>
      <c r="P7" t="s">
        <v>136</v>
      </c>
      <c r="Q7" t="s">
        <v>148</v>
      </c>
      <c r="R7" t="s">
        <v>160</v>
      </c>
      <c r="S7" t="s">
        <v>158</v>
      </c>
      <c r="T7" t="s">
        <v>147</v>
      </c>
      <c r="U7" t="s">
        <v>146</v>
      </c>
    </row>
    <row r="8" spans="1:16" ht="12.75">
      <c r="A8" t="s">
        <v>33</v>
      </c>
      <c r="B8" t="s">
        <v>34</v>
      </c>
      <c r="C8" t="s">
        <v>35</v>
      </c>
      <c r="D8" t="s">
        <v>36</v>
      </c>
      <c r="J8" t="s">
        <v>36</v>
      </c>
      <c r="P8" t="s">
        <v>54</v>
      </c>
    </row>
    <row r="9" spans="1:21" ht="12.75">
      <c r="A9">
        <v>1923</v>
      </c>
      <c r="B9" s="10" t="s">
        <v>120</v>
      </c>
      <c r="C9" s="9" t="s">
        <v>149</v>
      </c>
      <c r="D9">
        <f>'standard variables'!D9</f>
        <v>549</v>
      </c>
      <c r="E9">
        <v>-2</v>
      </c>
      <c r="F9">
        <v>-2</v>
      </c>
      <c r="G9">
        <v>-2</v>
      </c>
      <c r="H9">
        <v>-2</v>
      </c>
      <c r="I9">
        <v>-2</v>
      </c>
      <c r="J9">
        <f>'standard variables'!D9</f>
        <v>549</v>
      </c>
      <c r="K9">
        <v>-2</v>
      </c>
      <c r="L9">
        <v>-2</v>
      </c>
      <c r="M9">
        <v>-2</v>
      </c>
      <c r="N9">
        <v>-2</v>
      </c>
      <c r="O9">
        <v>-2</v>
      </c>
      <c r="P9">
        <f>'standard variables'!V9</f>
        <v>-2</v>
      </c>
      <c r="Q9">
        <v>-2</v>
      </c>
      <c r="R9">
        <v>-2</v>
      </c>
      <c r="S9">
        <v>-2</v>
      </c>
      <c r="T9">
        <v>-2</v>
      </c>
      <c r="U9">
        <v>-2</v>
      </c>
    </row>
    <row r="10" spans="1:21" ht="12.75">
      <c r="A10">
        <f aca="true" t="shared" si="0" ref="A10:A26">A9+1</f>
        <v>1924</v>
      </c>
      <c r="B10" s="10" t="s">
        <v>120</v>
      </c>
      <c r="C10" s="9" t="s">
        <v>149</v>
      </c>
      <c r="D10">
        <f>'standard variables'!D10</f>
        <v>614</v>
      </c>
      <c r="E10">
        <v>-2</v>
      </c>
      <c r="F10">
        <v>-2</v>
      </c>
      <c r="G10">
        <v>-2</v>
      </c>
      <c r="H10">
        <v>-2</v>
      </c>
      <c r="I10">
        <v>-2</v>
      </c>
      <c r="J10">
        <f>'standard variables'!D10</f>
        <v>614</v>
      </c>
      <c r="K10">
        <v>-2</v>
      </c>
      <c r="L10">
        <v>-2</v>
      </c>
      <c r="M10">
        <v>-2</v>
      </c>
      <c r="N10">
        <v>-2</v>
      </c>
      <c r="O10">
        <v>-2</v>
      </c>
      <c r="P10">
        <f>'standard variables'!V10</f>
        <v>-2</v>
      </c>
      <c r="Q10">
        <v>-2</v>
      </c>
      <c r="R10">
        <v>-2</v>
      </c>
      <c r="S10">
        <v>-2</v>
      </c>
      <c r="T10">
        <v>-2</v>
      </c>
      <c r="U10">
        <v>-2</v>
      </c>
    </row>
    <row r="11" spans="1:21" ht="12.75">
      <c r="A11">
        <f t="shared" si="0"/>
        <v>1925</v>
      </c>
      <c r="B11" s="10" t="s">
        <v>120</v>
      </c>
      <c r="C11" s="9" t="s">
        <v>149</v>
      </c>
      <c r="D11">
        <f>'standard variables'!D11</f>
        <v>641</v>
      </c>
      <c r="E11">
        <v>-2</v>
      </c>
      <c r="F11">
        <v>-2</v>
      </c>
      <c r="G11">
        <v>-2</v>
      </c>
      <c r="H11">
        <v>-2</v>
      </c>
      <c r="I11">
        <v>-2</v>
      </c>
      <c r="J11">
        <f>'standard variables'!D11</f>
        <v>641</v>
      </c>
      <c r="K11">
        <v>-2</v>
      </c>
      <c r="L11">
        <v>-2</v>
      </c>
      <c r="M11">
        <v>-2</v>
      </c>
      <c r="N11">
        <v>-2</v>
      </c>
      <c r="O11">
        <v>-2</v>
      </c>
      <c r="P11">
        <f>'standard variables'!V11</f>
        <v>-2</v>
      </c>
      <c r="Q11">
        <v>-2</v>
      </c>
      <c r="R11">
        <v>-2</v>
      </c>
      <c r="S11">
        <v>-2</v>
      </c>
      <c r="T11">
        <v>-2</v>
      </c>
      <c r="U11">
        <v>-2</v>
      </c>
    </row>
    <row r="12" spans="1:21" ht="12.75">
      <c r="A12">
        <f t="shared" si="0"/>
        <v>1926</v>
      </c>
      <c r="B12" s="10" t="s">
        <v>120</v>
      </c>
      <c r="C12" s="9" t="s">
        <v>149</v>
      </c>
      <c r="D12">
        <f>'standard variables'!D12</f>
        <v>693</v>
      </c>
      <c r="E12">
        <v>-2</v>
      </c>
      <c r="F12">
        <v>-2</v>
      </c>
      <c r="G12">
        <v>-2</v>
      </c>
      <c r="H12">
        <v>-2</v>
      </c>
      <c r="I12">
        <v>-2</v>
      </c>
      <c r="J12">
        <f>'standard variables'!D12</f>
        <v>693</v>
      </c>
      <c r="K12">
        <v>-2</v>
      </c>
      <c r="L12">
        <v>-2</v>
      </c>
      <c r="M12">
        <v>-2</v>
      </c>
      <c r="N12">
        <v>-2</v>
      </c>
      <c r="O12">
        <v>-2</v>
      </c>
      <c r="P12">
        <f>'standard variables'!V12</f>
        <v>-2</v>
      </c>
      <c r="Q12">
        <v>-2</v>
      </c>
      <c r="R12">
        <v>-2</v>
      </c>
      <c r="S12">
        <v>-2</v>
      </c>
      <c r="T12">
        <v>-2</v>
      </c>
      <c r="U12">
        <v>-2</v>
      </c>
    </row>
    <row r="13" spans="1:21" ht="12.75">
      <c r="A13">
        <f t="shared" si="0"/>
        <v>1927</v>
      </c>
      <c r="B13" s="10" t="s">
        <v>120</v>
      </c>
      <c r="C13" s="9" t="s">
        <v>149</v>
      </c>
      <c r="D13">
        <f>'standard variables'!D13</f>
        <v>706</v>
      </c>
      <c r="E13">
        <v>-2</v>
      </c>
      <c r="F13">
        <v>-2</v>
      </c>
      <c r="G13">
        <v>-2</v>
      </c>
      <c r="H13">
        <v>-2</v>
      </c>
      <c r="I13">
        <v>-2</v>
      </c>
      <c r="J13">
        <f>'standard variables'!D13</f>
        <v>706</v>
      </c>
      <c r="K13">
        <v>-2</v>
      </c>
      <c r="L13">
        <v>-2</v>
      </c>
      <c r="M13">
        <v>-2</v>
      </c>
      <c r="N13">
        <v>-2</v>
      </c>
      <c r="O13">
        <v>-2</v>
      </c>
      <c r="P13">
        <f>'standard variables'!V13</f>
        <v>-2</v>
      </c>
      <c r="Q13">
        <v>-2</v>
      </c>
      <c r="R13">
        <v>-2</v>
      </c>
      <c r="S13">
        <v>-2</v>
      </c>
      <c r="T13">
        <v>-2</v>
      </c>
      <c r="U13">
        <v>-2</v>
      </c>
    </row>
    <row r="14" spans="1:21" ht="12.75">
      <c r="A14">
        <f t="shared" si="0"/>
        <v>1928</v>
      </c>
      <c r="B14" s="10" t="s">
        <v>120</v>
      </c>
      <c r="C14" s="9" t="s">
        <v>149</v>
      </c>
      <c r="D14">
        <f>'standard variables'!D14</f>
        <v>765</v>
      </c>
      <c r="E14">
        <v>-2</v>
      </c>
      <c r="F14">
        <v>-2</v>
      </c>
      <c r="G14">
        <v>-2</v>
      </c>
      <c r="H14">
        <v>-2</v>
      </c>
      <c r="I14">
        <v>-2</v>
      </c>
      <c r="J14">
        <f>'standard variables'!D14</f>
        <v>765</v>
      </c>
      <c r="K14">
        <v>-2</v>
      </c>
      <c r="L14">
        <v>-2</v>
      </c>
      <c r="M14">
        <v>-2</v>
      </c>
      <c r="N14">
        <v>-2</v>
      </c>
      <c r="O14">
        <v>-2</v>
      </c>
      <c r="P14">
        <f>'standard variables'!V14</f>
        <v>-2</v>
      </c>
      <c r="Q14">
        <v>-2</v>
      </c>
      <c r="R14">
        <v>-2</v>
      </c>
      <c r="S14">
        <v>-2</v>
      </c>
      <c r="T14">
        <v>-2</v>
      </c>
      <c r="U14">
        <v>-2</v>
      </c>
    </row>
    <row r="15" spans="1:21" ht="12.75">
      <c r="A15">
        <f t="shared" si="0"/>
        <v>1929</v>
      </c>
      <c r="B15" s="10" t="s">
        <v>120</v>
      </c>
      <c r="C15" s="9" t="s">
        <v>149</v>
      </c>
      <c r="D15">
        <f>'standard variables'!D15</f>
        <v>793</v>
      </c>
      <c r="E15">
        <v>-2</v>
      </c>
      <c r="F15">
        <v>-2</v>
      </c>
      <c r="G15">
        <v>-2</v>
      </c>
      <c r="H15">
        <v>-2</v>
      </c>
      <c r="I15">
        <v>-2</v>
      </c>
      <c r="J15">
        <f>'standard variables'!D15</f>
        <v>793</v>
      </c>
      <c r="K15">
        <v>-2</v>
      </c>
      <c r="L15">
        <v>-2</v>
      </c>
      <c r="M15">
        <v>-2</v>
      </c>
      <c r="N15">
        <v>-2</v>
      </c>
      <c r="O15">
        <v>-2</v>
      </c>
      <c r="P15">
        <f>'standard variables'!V15</f>
        <v>-2</v>
      </c>
      <c r="Q15">
        <v>-2</v>
      </c>
      <c r="R15">
        <v>-2</v>
      </c>
      <c r="S15">
        <v>-2</v>
      </c>
      <c r="T15">
        <v>-2</v>
      </c>
      <c r="U15">
        <v>-2</v>
      </c>
    </row>
    <row r="16" spans="1:21" ht="12.75">
      <c r="A16">
        <f t="shared" si="0"/>
        <v>1930</v>
      </c>
      <c r="B16" s="10" t="s">
        <v>120</v>
      </c>
      <c r="C16" s="9" t="s">
        <v>149</v>
      </c>
      <c r="D16">
        <f>'standard variables'!D16</f>
        <v>838</v>
      </c>
      <c r="E16">
        <v>-2</v>
      </c>
      <c r="F16">
        <v>-2</v>
      </c>
      <c r="G16">
        <v>-2</v>
      </c>
      <c r="H16">
        <v>-2</v>
      </c>
      <c r="I16">
        <v>-2</v>
      </c>
      <c r="J16">
        <f>'standard variables'!D16</f>
        <v>838</v>
      </c>
      <c r="K16">
        <v>-2</v>
      </c>
      <c r="L16">
        <v>-2</v>
      </c>
      <c r="M16">
        <v>-2</v>
      </c>
      <c r="N16">
        <v>-2</v>
      </c>
      <c r="O16">
        <v>-2</v>
      </c>
      <c r="P16">
        <f>'standard variables'!V16</f>
        <v>-2</v>
      </c>
      <c r="Q16">
        <v>-2</v>
      </c>
      <c r="R16">
        <v>-2</v>
      </c>
      <c r="S16">
        <v>-2</v>
      </c>
      <c r="T16">
        <v>-2</v>
      </c>
      <c r="U16">
        <v>-2</v>
      </c>
    </row>
    <row r="17" spans="1:21" ht="12.75">
      <c r="A17">
        <f t="shared" si="0"/>
        <v>1931</v>
      </c>
      <c r="B17" s="10" t="s">
        <v>120</v>
      </c>
      <c r="C17" s="9" t="s">
        <v>149</v>
      </c>
      <c r="D17">
        <f>'standard variables'!D17</f>
        <v>880</v>
      </c>
      <c r="E17">
        <v>-2</v>
      </c>
      <c r="F17">
        <v>-2</v>
      </c>
      <c r="G17">
        <v>-2</v>
      </c>
      <c r="H17">
        <v>-2</v>
      </c>
      <c r="I17">
        <v>-2</v>
      </c>
      <c r="J17">
        <f>'standard variables'!D17</f>
        <v>880</v>
      </c>
      <c r="K17">
        <v>-2</v>
      </c>
      <c r="L17">
        <v>-2</v>
      </c>
      <c r="M17">
        <v>-2</v>
      </c>
      <c r="N17">
        <v>-2</v>
      </c>
      <c r="O17">
        <v>-2</v>
      </c>
      <c r="P17">
        <f>'standard variables'!V17</f>
        <v>-2</v>
      </c>
      <c r="Q17">
        <v>-2</v>
      </c>
      <c r="R17">
        <v>-2</v>
      </c>
      <c r="S17">
        <v>-2</v>
      </c>
      <c r="T17">
        <v>-2</v>
      </c>
      <c r="U17">
        <v>-2</v>
      </c>
    </row>
    <row r="18" spans="1:21" ht="12.75">
      <c r="A18">
        <f t="shared" si="0"/>
        <v>1932</v>
      </c>
      <c r="B18" s="10" t="s">
        <v>120</v>
      </c>
      <c r="C18" s="9" t="s">
        <v>149</v>
      </c>
      <c r="D18">
        <f>'standard variables'!D18</f>
        <v>874</v>
      </c>
      <c r="E18">
        <v>-2</v>
      </c>
      <c r="F18">
        <v>-2</v>
      </c>
      <c r="G18">
        <v>-2</v>
      </c>
      <c r="H18">
        <v>-2</v>
      </c>
      <c r="I18">
        <v>-2</v>
      </c>
      <c r="J18">
        <f>'standard variables'!D18</f>
        <v>874</v>
      </c>
      <c r="K18">
        <v>-2</v>
      </c>
      <c r="L18">
        <v>-2</v>
      </c>
      <c r="M18">
        <v>-2</v>
      </c>
      <c r="N18">
        <v>-2</v>
      </c>
      <c r="O18">
        <v>-2</v>
      </c>
      <c r="P18">
        <f>'standard variables'!V18</f>
        <v>-2</v>
      </c>
      <c r="Q18">
        <v>-2</v>
      </c>
      <c r="R18">
        <v>-2</v>
      </c>
      <c r="S18">
        <v>-2</v>
      </c>
      <c r="T18">
        <v>-2</v>
      </c>
      <c r="U18">
        <v>-2</v>
      </c>
    </row>
    <row r="19" spans="1:21" ht="12.75">
      <c r="A19">
        <f t="shared" si="0"/>
        <v>1933</v>
      </c>
      <c r="B19" s="10" t="s">
        <v>120</v>
      </c>
      <c r="C19" s="9" t="s">
        <v>149</v>
      </c>
      <c r="D19">
        <f>'standard variables'!D19</f>
        <v>893</v>
      </c>
      <c r="E19">
        <v>-2</v>
      </c>
      <c r="F19">
        <v>-2</v>
      </c>
      <c r="G19">
        <v>-2</v>
      </c>
      <c r="H19">
        <v>-2</v>
      </c>
      <c r="I19">
        <v>-2</v>
      </c>
      <c r="J19">
        <f>'standard variables'!D19</f>
        <v>893</v>
      </c>
      <c r="K19">
        <v>-2</v>
      </c>
      <c r="L19">
        <v>-2</v>
      </c>
      <c r="M19">
        <v>-2</v>
      </c>
      <c r="N19">
        <v>-2</v>
      </c>
      <c r="O19">
        <v>-2</v>
      </c>
      <c r="P19">
        <f>'standard variables'!V19</f>
        <v>-2</v>
      </c>
      <c r="Q19">
        <v>-2</v>
      </c>
      <c r="R19">
        <v>-2</v>
      </c>
      <c r="S19">
        <v>-2</v>
      </c>
      <c r="T19">
        <v>-2</v>
      </c>
      <c r="U19">
        <v>-2</v>
      </c>
    </row>
    <row r="20" spans="1:21" ht="12.75">
      <c r="A20">
        <f t="shared" si="0"/>
        <v>1934</v>
      </c>
      <c r="B20" s="10" t="s">
        <v>120</v>
      </c>
      <c r="C20" s="9" t="s">
        <v>149</v>
      </c>
      <c r="D20">
        <f>'standard variables'!D20</f>
        <v>872</v>
      </c>
      <c r="E20">
        <v>-2</v>
      </c>
      <c r="F20">
        <v>-2</v>
      </c>
      <c r="G20">
        <v>-2</v>
      </c>
      <c r="H20">
        <v>-2</v>
      </c>
      <c r="I20">
        <v>-2</v>
      </c>
      <c r="J20">
        <f>'standard variables'!D20</f>
        <v>872</v>
      </c>
      <c r="K20">
        <v>-2</v>
      </c>
      <c r="L20">
        <v>-2</v>
      </c>
      <c r="M20">
        <v>-2</v>
      </c>
      <c r="N20">
        <v>-2</v>
      </c>
      <c r="O20">
        <v>-2</v>
      </c>
      <c r="P20">
        <f>'standard variables'!V20</f>
        <v>-2</v>
      </c>
      <c r="Q20">
        <v>-2</v>
      </c>
      <c r="R20">
        <v>-2</v>
      </c>
      <c r="S20">
        <v>-2</v>
      </c>
      <c r="T20">
        <v>-2</v>
      </c>
      <c r="U20">
        <v>-2</v>
      </c>
    </row>
    <row r="21" spans="1:21" ht="12.75">
      <c r="A21">
        <f t="shared" si="0"/>
        <v>1935</v>
      </c>
      <c r="B21" s="10" t="s">
        <v>120</v>
      </c>
      <c r="C21" s="9" t="s">
        <v>149</v>
      </c>
      <c r="D21">
        <f>'standard variables'!D21</f>
        <v>889</v>
      </c>
      <c r="E21">
        <v>-2</v>
      </c>
      <c r="F21">
        <v>-2</v>
      </c>
      <c r="G21">
        <v>-2</v>
      </c>
      <c r="H21">
        <v>-2</v>
      </c>
      <c r="I21">
        <v>-2</v>
      </c>
      <c r="J21">
        <f>'standard variables'!D21</f>
        <v>889</v>
      </c>
      <c r="K21">
        <v>-2</v>
      </c>
      <c r="L21">
        <v>-2</v>
      </c>
      <c r="M21">
        <v>-2</v>
      </c>
      <c r="N21">
        <v>-2</v>
      </c>
      <c r="O21">
        <v>-2</v>
      </c>
      <c r="P21">
        <f>'standard variables'!V21</f>
        <v>-2</v>
      </c>
      <c r="Q21">
        <v>-2</v>
      </c>
      <c r="R21">
        <v>-2</v>
      </c>
      <c r="S21">
        <v>-2</v>
      </c>
      <c r="T21">
        <v>-2</v>
      </c>
      <c r="U21">
        <v>-2</v>
      </c>
    </row>
    <row r="22" spans="1:21" ht="12.75">
      <c r="A22">
        <f t="shared" si="0"/>
        <v>1936</v>
      </c>
      <c r="B22" s="10" t="s">
        <v>120</v>
      </c>
      <c r="C22" s="9" t="s">
        <v>149</v>
      </c>
      <c r="D22">
        <f>'standard variables'!D22</f>
        <v>928</v>
      </c>
      <c r="E22">
        <v>-2</v>
      </c>
      <c r="F22">
        <v>-2</v>
      </c>
      <c r="G22">
        <v>-2</v>
      </c>
      <c r="H22">
        <v>-2</v>
      </c>
      <c r="I22">
        <v>-2</v>
      </c>
      <c r="J22">
        <f>'standard variables'!D22</f>
        <v>928</v>
      </c>
      <c r="K22">
        <v>-2</v>
      </c>
      <c r="L22">
        <v>-2</v>
      </c>
      <c r="M22">
        <v>-2</v>
      </c>
      <c r="N22">
        <v>-2</v>
      </c>
      <c r="O22">
        <v>-2</v>
      </c>
      <c r="P22">
        <f>'standard variables'!V22</f>
        <v>-2</v>
      </c>
      <c r="Q22">
        <v>-2</v>
      </c>
      <c r="R22">
        <v>-2</v>
      </c>
      <c r="S22">
        <v>-2</v>
      </c>
      <c r="T22">
        <v>-2</v>
      </c>
      <c r="U22">
        <v>-2</v>
      </c>
    </row>
    <row r="23" spans="1:21" ht="12.75">
      <c r="A23">
        <f t="shared" si="0"/>
        <v>1937</v>
      </c>
      <c r="B23" s="10" t="s">
        <v>120</v>
      </c>
      <c r="C23" s="9" t="s">
        <v>149</v>
      </c>
      <c r="D23">
        <f>'standard variables'!D23</f>
        <v>926</v>
      </c>
      <c r="E23">
        <v>-2</v>
      </c>
      <c r="F23">
        <v>-2</v>
      </c>
      <c r="G23">
        <v>-2</v>
      </c>
      <c r="H23">
        <v>-2</v>
      </c>
      <c r="I23">
        <v>-2</v>
      </c>
      <c r="J23">
        <f>'standard variables'!D23</f>
        <v>926</v>
      </c>
      <c r="K23">
        <v>-2</v>
      </c>
      <c r="L23">
        <v>-2</v>
      </c>
      <c r="M23">
        <v>-2</v>
      </c>
      <c r="N23">
        <v>-2</v>
      </c>
      <c r="O23">
        <v>-2</v>
      </c>
      <c r="P23">
        <f>'standard variables'!V23</f>
        <v>-2</v>
      </c>
      <c r="Q23">
        <v>-2</v>
      </c>
      <c r="R23">
        <v>-2</v>
      </c>
      <c r="S23">
        <v>-2</v>
      </c>
      <c r="T23">
        <v>-2</v>
      </c>
      <c r="U23">
        <v>-2</v>
      </c>
    </row>
    <row r="24" spans="1:21" ht="12.75">
      <c r="A24">
        <f t="shared" si="0"/>
        <v>1938</v>
      </c>
      <c r="B24" s="10" t="s">
        <v>120</v>
      </c>
      <c r="C24" s="9" t="s">
        <v>149</v>
      </c>
      <c r="D24">
        <f>'standard variables'!D24</f>
        <v>-2</v>
      </c>
      <c r="E24">
        <v>-2</v>
      </c>
      <c r="F24">
        <v>-2</v>
      </c>
      <c r="G24">
        <v>-2</v>
      </c>
      <c r="H24">
        <v>-2</v>
      </c>
      <c r="I24">
        <v>-2</v>
      </c>
      <c r="J24">
        <f>'standard variables'!D24</f>
        <v>-2</v>
      </c>
      <c r="K24">
        <v>-2</v>
      </c>
      <c r="L24">
        <v>-2</v>
      </c>
      <c r="M24">
        <v>-2</v>
      </c>
      <c r="N24">
        <v>-2</v>
      </c>
      <c r="O24">
        <v>-2</v>
      </c>
      <c r="P24">
        <f>'standard variables'!V24</f>
        <v>-2</v>
      </c>
      <c r="Q24">
        <v>-2</v>
      </c>
      <c r="R24">
        <v>-2</v>
      </c>
      <c r="S24">
        <v>-2</v>
      </c>
      <c r="T24">
        <v>-2</v>
      </c>
      <c r="U24">
        <v>-2</v>
      </c>
    </row>
    <row r="25" spans="1:21" ht="12.75">
      <c r="A25">
        <f t="shared" si="0"/>
        <v>1939</v>
      </c>
      <c r="B25" s="10" t="s">
        <v>120</v>
      </c>
      <c r="C25" s="9" t="s">
        <v>149</v>
      </c>
      <c r="D25">
        <f>'standard variables'!D25</f>
        <v>-2</v>
      </c>
      <c r="E25">
        <v>-2</v>
      </c>
      <c r="F25">
        <v>-2</v>
      </c>
      <c r="G25">
        <v>-2</v>
      </c>
      <c r="H25">
        <v>-2</v>
      </c>
      <c r="I25">
        <v>-2</v>
      </c>
      <c r="J25">
        <f>'standard variables'!D25</f>
        <v>-2</v>
      </c>
      <c r="K25">
        <v>-2</v>
      </c>
      <c r="L25">
        <v>-2</v>
      </c>
      <c r="M25">
        <v>-2</v>
      </c>
      <c r="N25">
        <v>-2</v>
      </c>
      <c r="O25">
        <v>-2</v>
      </c>
      <c r="P25">
        <f>'standard variables'!V25</f>
        <v>-2</v>
      </c>
      <c r="Q25">
        <v>-2</v>
      </c>
      <c r="R25">
        <v>-2</v>
      </c>
      <c r="S25">
        <v>-2</v>
      </c>
      <c r="T25">
        <v>-2</v>
      </c>
      <c r="U25">
        <v>-2</v>
      </c>
    </row>
    <row r="26" spans="1:21" ht="12.75">
      <c r="A26">
        <f t="shared" si="0"/>
        <v>1940</v>
      </c>
      <c r="B26" s="10" t="s">
        <v>120</v>
      </c>
      <c r="C26" s="9" t="s">
        <v>149</v>
      </c>
      <c r="D26">
        <f>'standard variables'!D26</f>
        <v>-2</v>
      </c>
      <c r="E26">
        <v>-2</v>
      </c>
      <c r="F26">
        <v>-2</v>
      </c>
      <c r="G26">
        <v>-2</v>
      </c>
      <c r="H26">
        <v>-2</v>
      </c>
      <c r="I26">
        <v>-2</v>
      </c>
      <c r="J26">
        <f>'standard variables'!D26</f>
        <v>-2</v>
      </c>
      <c r="K26">
        <v>-2</v>
      </c>
      <c r="L26">
        <v>-2</v>
      </c>
      <c r="M26">
        <v>-2</v>
      </c>
      <c r="N26">
        <v>-2</v>
      </c>
      <c r="O26">
        <v>-2</v>
      </c>
      <c r="P26">
        <f>'standard variables'!V26</f>
        <v>-2</v>
      </c>
      <c r="Q26">
        <v>-2</v>
      </c>
      <c r="R26">
        <v>-2</v>
      </c>
      <c r="S26">
        <v>-2</v>
      </c>
      <c r="T26">
        <v>-2</v>
      </c>
      <c r="U26">
        <v>-2</v>
      </c>
    </row>
    <row r="27" spans="1:21" ht="12.75">
      <c r="A27">
        <f aca="true" t="shared" si="1" ref="A27:A80">A26+1</f>
        <v>1941</v>
      </c>
      <c r="B27" s="10" t="s">
        <v>120</v>
      </c>
      <c r="C27" s="9" t="s">
        <v>149</v>
      </c>
      <c r="D27">
        <f>'standard variables'!D27</f>
        <v>-2</v>
      </c>
      <c r="E27">
        <v>-2</v>
      </c>
      <c r="F27">
        <v>-2</v>
      </c>
      <c r="G27">
        <v>-2</v>
      </c>
      <c r="H27">
        <v>-2</v>
      </c>
      <c r="I27">
        <v>-2</v>
      </c>
      <c r="J27">
        <f>'standard variables'!D27</f>
        <v>-2</v>
      </c>
      <c r="K27">
        <v>-2</v>
      </c>
      <c r="L27">
        <v>-2</v>
      </c>
      <c r="M27">
        <v>-2</v>
      </c>
      <c r="N27">
        <v>-2</v>
      </c>
      <c r="O27">
        <v>-2</v>
      </c>
      <c r="P27">
        <f>'standard variables'!V27</f>
        <v>-2</v>
      </c>
      <c r="Q27">
        <v>-2</v>
      </c>
      <c r="R27">
        <v>-2</v>
      </c>
      <c r="S27">
        <v>-2</v>
      </c>
      <c r="T27">
        <v>-2</v>
      </c>
      <c r="U27">
        <v>-2</v>
      </c>
    </row>
    <row r="28" spans="1:21" ht="12.75">
      <c r="A28">
        <f t="shared" si="1"/>
        <v>1942</v>
      </c>
      <c r="B28" s="10" t="s">
        <v>120</v>
      </c>
      <c r="C28" s="9" t="s">
        <v>149</v>
      </c>
      <c r="D28">
        <f>'standard variables'!D28</f>
        <v>-2</v>
      </c>
      <c r="E28">
        <v>-2</v>
      </c>
      <c r="F28">
        <v>-2</v>
      </c>
      <c r="G28">
        <v>-2</v>
      </c>
      <c r="H28">
        <v>-2</v>
      </c>
      <c r="I28">
        <v>-2</v>
      </c>
      <c r="J28">
        <f>'standard variables'!D28</f>
        <v>-2</v>
      </c>
      <c r="K28">
        <v>-2</v>
      </c>
      <c r="L28">
        <v>-2</v>
      </c>
      <c r="M28">
        <v>-2</v>
      </c>
      <c r="N28">
        <v>-2</v>
      </c>
      <c r="O28">
        <v>-2</v>
      </c>
      <c r="P28">
        <f>'standard variables'!V28</f>
        <v>-2</v>
      </c>
      <c r="Q28">
        <v>-2</v>
      </c>
      <c r="R28">
        <v>-2</v>
      </c>
      <c r="S28">
        <v>-2</v>
      </c>
      <c r="T28">
        <v>-2</v>
      </c>
      <c r="U28">
        <v>-2</v>
      </c>
    </row>
    <row r="29" spans="1:21" ht="12.75">
      <c r="A29">
        <f t="shared" si="1"/>
        <v>1943</v>
      </c>
      <c r="B29" s="10" t="s">
        <v>120</v>
      </c>
      <c r="C29" s="9" t="s">
        <v>149</v>
      </c>
      <c r="D29">
        <f>'standard variables'!D29</f>
        <v>-2</v>
      </c>
      <c r="E29">
        <v>-2</v>
      </c>
      <c r="F29">
        <v>-2</v>
      </c>
      <c r="G29">
        <v>-2</v>
      </c>
      <c r="H29">
        <v>-2</v>
      </c>
      <c r="I29">
        <v>-2</v>
      </c>
      <c r="J29">
        <f>'standard variables'!D29</f>
        <v>-2</v>
      </c>
      <c r="K29">
        <v>-2</v>
      </c>
      <c r="L29">
        <v>-2</v>
      </c>
      <c r="M29">
        <v>-2</v>
      </c>
      <c r="N29">
        <v>-2</v>
      </c>
      <c r="O29">
        <v>-2</v>
      </c>
      <c r="P29">
        <f>'standard variables'!V29</f>
        <v>-2</v>
      </c>
      <c r="Q29">
        <v>-2</v>
      </c>
      <c r="R29">
        <v>-2</v>
      </c>
      <c r="S29">
        <v>-2</v>
      </c>
      <c r="T29">
        <v>-2</v>
      </c>
      <c r="U29">
        <v>-2</v>
      </c>
    </row>
    <row r="30" spans="1:21" ht="12.75">
      <c r="A30">
        <f t="shared" si="1"/>
        <v>1944</v>
      </c>
      <c r="B30" s="10" t="s">
        <v>120</v>
      </c>
      <c r="C30" s="9" t="s">
        <v>149</v>
      </c>
      <c r="D30">
        <f>'standard variables'!D30</f>
        <v>-2</v>
      </c>
      <c r="E30">
        <v>-2</v>
      </c>
      <c r="F30">
        <v>-2</v>
      </c>
      <c r="G30">
        <v>-2</v>
      </c>
      <c r="H30">
        <v>-2</v>
      </c>
      <c r="I30">
        <v>-2</v>
      </c>
      <c r="J30">
        <f>'standard variables'!D30</f>
        <v>-2</v>
      </c>
      <c r="K30">
        <v>-2</v>
      </c>
      <c r="L30">
        <v>-2</v>
      </c>
      <c r="M30">
        <v>-2</v>
      </c>
      <c r="N30">
        <v>-2</v>
      </c>
      <c r="O30">
        <v>-2</v>
      </c>
      <c r="P30">
        <f>'standard variables'!V30</f>
        <v>-2</v>
      </c>
      <c r="Q30">
        <v>-2</v>
      </c>
      <c r="R30">
        <v>-2</v>
      </c>
      <c r="S30">
        <v>-2</v>
      </c>
      <c r="T30">
        <v>-2</v>
      </c>
      <c r="U30">
        <v>-2</v>
      </c>
    </row>
    <row r="31" spans="1:21" ht="12.75">
      <c r="A31">
        <f t="shared" si="1"/>
        <v>1945</v>
      </c>
      <c r="B31" s="10" t="s">
        <v>120</v>
      </c>
      <c r="C31" s="9" t="s">
        <v>149</v>
      </c>
      <c r="D31">
        <f>'standard variables'!D31</f>
        <v>558</v>
      </c>
      <c r="E31">
        <v>-2</v>
      </c>
      <c r="F31">
        <v>-2</v>
      </c>
      <c r="G31">
        <v>-2</v>
      </c>
      <c r="H31">
        <v>-2</v>
      </c>
      <c r="I31">
        <v>-2</v>
      </c>
      <c r="J31">
        <f>'standard variables'!D31</f>
        <v>558</v>
      </c>
      <c r="K31">
        <v>-2</v>
      </c>
      <c r="L31">
        <v>-2</v>
      </c>
      <c r="M31">
        <v>-2</v>
      </c>
      <c r="N31">
        <v>-2</v>
      </c>
      <c r="O31">
        <v>-2</v>
      </c>
      <c r="P31">
        <f>'standard variables'!V31</f>
        <v>-2</v>
      </c>
      <c r="Q31">
        <v>1133</v>
      </c>
      <c r="R31">
        <v>-2</v>
      </c>
      <c r="S31">
        <v>-2</v>
      </c>
      <c r="T31">
        <v>-2</v>
      </c>
      <c r="U31">
        <v>-2</v>
      </c>
    </row>
    <row r="32" spans="1:21" ht="12.75">
      <c r="A32">
        <f t="shared" si="1"/>
        <v>1946</v>
      </c>
      <c r="B32" s="10" t="s">
        <v>120</v>
      </c>
      <c r="C32" s="9" t="s">
        <v>149</v>
      </c>
      <c r="D32">
        <f>'standard variables'!D32</f>
        <v>814</v>
      </c>
      <c r="E32">
        <v>-2</v>
      </c>
      <c r="F32">
        <v>-2</v>
      </c>
      <c r="G32">
        <v>-2</v>
      </c>
      <c r="H32">
        <v>-2</v>
      </c>
      <c r="I32">
        <v>-2</v>
      </c>
      <c r="J32">
        <f>'standard variables'!D32</f>
        <v>814</v>
      </c>
      <c r="K32">
        <v>-2</v>
      </c>
      <c r="L32">
        <v>-2</v>
      </c>
      <c r="M32">
        <v>-2</v>
      </c>
      <c r="N32">
        <v>-2</v>
      </c>
      <c r="O32">
        <v>-2</v>
      </c>
      <c r="P32">
        <f>'standard variables'!V32</f>
        <v>-2</v>
      </c>
      <c r="Q32">
        <v>1854</v>
      </c>
      <c r="R32">
        <v>-2</v>
      </c>
      <c r="S32">
        <v>-2</v>
      </c>
      <c r="T32">
        <v>-2</v>
      </c>
      <c r="U32">
        <v>-2</v>
      </c>
    </row>
    <row r="33" spans="1:21" ht="12.75">
      <c r="A33">
        <f t="shared" si="1"/>
        <v>1947</v>
      </c>
      <c r="B33" s="10" t="s">
        <v>120</v>
      </c>
      <c r="C33" s="9" t="s">
        <v>149</v>
      </c>
      <c r="D33">
        <f>'standard variables'!D33</f>
        <v>894</v>
      </c>
      <c r="E33">
        <v>-2</v>
      </c>
      <c r="F33">
        <v>-2</v>
      </c>
      <c r="G33">
        <v>-2</v>
      </c>
      <c r="H33">
        <v>-2</v>
      </c>
      <c r="I33">
        <v>-2</v>
      </c>
      <c r="J33">
        <f>'standard variables'!D33</f>
        <v>894</v>
      </c>
      <c r="K33">
        <v>-2</v>
      </c>
      <c r="L33">
        <v>-2</v>
      </c>
      <c r="M33">
        <v>-2</v>
      </c>
      <c r="N33">
        <v>-2</v>
      </c>
      <c r="O33">
        <v>-2</v>
      </c>
      <c r="P33">
        <f>'standard variables'!V33</f>
        <v>-2</v>
      </c>
      <c r="Q33">
        <v>2118</v>
      </c>
      <c r="R33">
        <v>-2</v>
      </c>
      <c r="S33">
        <v>-2</v>
      </c>
      <c r="T33">
        <v>-2</v>
      </c>
      <c r="U33">
        <v>-2</v>
      </c>
    </row>
    <row r="34" spans="1:21" ht="12.75">
      <c r="A34">
        <f t="shared" si="1"/>
        <v>1948</v>
      </c>
      <c r="B34" s="10" t="s">
        <v>120</v>
      </c>
      <c r="C34" s="9" t="s">
        <v>149</v>
      </c>
      <c r="D34">
        <f>'standard variables'!D34</f>
        <v>1035</v>
      </c>
      <c r="E34">
        <v>-2</v>
      </c>
      <c r="F34">
        <v>-2</v>
      </c>
      <c r="G34">
        <v>-2</v>
      </c>
      <c r="H34">
        <v>-2</v>
      </c>
      <c r="I34">
        <v>-2</v>
      </c>
      <c r="J34">
        <f>'standard variables'!D34</f>
        <v>1035</v>
      </c>
      <c r="K34">
        <v>-2</v>
      </c>
      <c r="L34">
        <v>-2</v>
      </c>
      <c r="M34">
        <v>-2</v>
      </c>
      <c r="N34">
        <v>-2</v>
      </c>
      <c r="O34">
        <v>-2</v>
      </c>
      <c r="P34">
        <f>'standard variables'!V34</f>
        <v>-2</v>
      </c>
      <c r="Q34">
        <v>3900</v>
      </c>
      <c r="R34">
        <v>1951</v>
      </c>
      <c r="S34">
        <v>-2</v>
      </c>
      <c r="T34">
        <v>-2</v>
      </c>
      <c r="U34">
        <v>-2</v>
      </c>
    </row>
    <row r="35" spans="1:21" ht="12.75">
      <c r="A35">
        <f t="shared" si="1"/>
        <v>1949</v>
      </c>
      <c r="B35" s="10" t="s">
        <v>120</v>
      </c>
      <c r="C35" s="9" t="s">
        <v>149</v>
      </c>
      <c r="D35">
        <f>'standard variables'!D35</f>
        <v>1054</v>
      </c>
      <c r="E35">
        <v>-2</v>
      </c>
      <c r="F35">
        <v>-2</v>
      </c>
      <c r="G35">
        <v>-2</v>
      </c>
      <c r="H35">
        <v>-2</v>
      </c>
      <c r="I35">
        <v>-2</v>
      </c>
      <c r="J35">
        <f>'standard variables'!D35</f>
        <v>1054</v>
      </c>
      <c r="K35">
        <v>-2</v>
      </c>
      <c r="L35">
        <v>-2</v>
      </c>
      <c r="M35">
        <v>-2</v>
      </c>
      <c r="N35">
        <v>-2</v>
      </c>
      <c r="O35">
        <v>-2</v>
      </c>
      <c r="P35">
        <f>'standard variables'!V35</f>
        <v>-2</v>
      </c>
      <c r="Q35">
        <v>3836</v>
      </c>
      <c r="R35">
        <v>1977</v>
      </c>
      <c r="S35">
        <v>-2</v>
      </c>
      <c r="T35">
        <v>-2</v>
      </c>
      <c r="U35">
        <v>-2</v>
      </c>
    </row>
    <row r="36" spans="1:21" ht="12.75">
      <c r="A36">
        <f t="shared" si="1"/>
        <v>1950</v>
      </c>
      <c r="B36" s="10" t="s">
        <v>120</v>
      </c>
      <c r="C36" s="9" t="s">
        <v>149</v>
      </c>
      <c r="D36">
        <f>'standard variables'!D36</f>
        <v>1111</v>
      </c>
      <c r="E36">
        <v>-2</v>
      </c>
      <c r="F36">
        <v>-2</v>
      </c>
      <c r="G36">
        <v>-2</v>
      </c>
      <c r="H36">
        <v>-2</v>
      </c>
      <c r="I36">
        <v>-2</v>
      </c>
      <c r="J36">
        <f>'standard variables'!D36</f>
        <v>1111</v>
      </c>
      <c r="K36">
        <v>-2</v>
      </c>
      <c r="L36">
        <v>-2</v>
      </c>
      <c r="M36">
        <v>-2</v>
      </c>
      <c r="N36">
        <v>-2</v>
      </c>
      <c r="O36">
        <v>-2</v>
      </c>
      <c r="P36">
        <f>'standard variables'!V36</f>
        <v>-2</v>
      </c>
      <c r="Q36">
        <v>3938</v>
      </c>
      <c r="R36">
        <v>2077</v>
      </c>
      <c r="S36">
        <v>-2</v>
      </c>
      <c r="T36">
        <v>-2</v>
      </c>
      <c r="U36">
        <v>-2</v>
      </c>
    </row>
    <row r="37" spans="1:21" ht="12.75">
      <c r="A37">
        <f t="shared" si="1"/>
        <v>1951</v>
      </c>
      <c r="B37" s="10" t="s">
        <v>120</v>
      </c>
      <c r="C37" s="9" t="s">
        <v>149</v>
      </c>
      <c r="D37">
        <f>'standard variables'!D37</f>
        <v>1117</v>
      </c>
      <c r="E37">
        <v>-2</v>
      </c>
      <c r="F37">
        <v>-2</v>
      </c>
      <c r="G37">
        <v>-2</v>
      </c>
      <c r="H37">
        <v>-2</v>
      </c>
      <c r="I37">
        <v>-2</v>
      </c>
      <c r="J37">
        <f>'standard variables'!D37</f>
        <v>1117</v>
      </c>
      <c r="K37">
        <v>-2</v>
      </c>
      <c r="L37">
        <v>-2</v>
      </c>
      <c r="M37">
        <v>-2</v>
      </c>
      <c r="N37">
        <v>-2</v>
      </c>
      <c r="O37">
        <v>-2</v>
      </c>
      <c r="P37">
        <f>'standard variables'!V37</f>
        <v>-2</v>
      </c>
      <c r="Q37">
        <v>4263</v>
      </c>
      <c r="R37">
        <v>2145</v>
      </c>
      <c r="S37">
        <v>-2</v>
      </c>
      <c r="T37">
        <v>-2</v>
      </c>
      <c r="U37">
        <v>-2</v>
      </c>
    </row>
    <row r="38" spans="1:21" ht="12.75">
      <c r="A38">
        <f t="shared" si="1"/>
        <v>1952</v>
      </c>
      <c r="B38" s="10" t="s">
        <v>120</v>
      </c>
      <c r="C38" s="9" t="s">
        <v>149</v>
      </c>
      <c r="D38">
        <f>'standard variables'!D38</f>
        <v>1167</v>
      </c>
      <c r="E38">
        <v>-2</v>
      </c>
      <c r="F38">
        <v>-2</v>
      </c>
      <c r="G38">
        <v>-2</v>
      </c>
      <c r="H38">
        <v>-2</v>
      </c>
      <c r="I38">
        <v>-2</v>
      </c>
      <c r="J38">
        <f>'standard variables'!D38</f>
        <v>1167</v>
      </c>
      <c r="K38">
        <v>-2</v>
      </c>
      <c r="L38">
        <v>-2</v>
      </c>
      <c r="M38">
        <v>-2</v>
      </c>
      <c r="N38">
        <v>-2</v>
      </c>
      <c r="O38">
        <v>-2</v>
      </c>
      <c r="P38">
        <f>'standard variables'!V38</f>
        <v>-2</v>
      </c>
      <c r="Q38">
        <v>4160</v>
      </c>
      <c r="R38">
        <v>2237</v>
      </c>
      <c r="S38">
        <v>-2</v>
      </c>
      <c r="T38">
        <v>-2</v>
      </c>
      <c r="U38">
        <v>-2</v>
      </c>
    </row>
    <row r="39" spans="1:21" ht="12.75">
      <c r="A39">
        <f t="shared" si="1"/>
        <v>1953</v>
      </c>
      <c r="B39" s="10" t="s">
        <v>120</v>
      </c>
      <c r="C39" s="9" t="s">
        <v>149</v>
      </c>
      <c r="D39">
        <f>'standard variables'!D39</f>
        <v>1202</v>
      </c>
      <c r="E39">
        <v>-2</v>
      </c>
      <c r="F39">
        <v>-2</v>
      </c>
      <c r="G39">
        <v>-2</v>
      </c>
      <c r="H39">
        <v>-2</v>
      </c>
      <c r="I39">
        <v>-2</v>
      </c>
      <c r="J39">
        <f>'standard variables'!D39</f>
        <v>1202</v>
      </c>
      <c r="K39">
        <v>-2</v>
      </c>
      <c r="L39">
        <v>-2</v>
      </c>
      <c r="M39">
        <v>-2</v>
      </c>
      <c r="N39">
        <v>-2</v>
      </c>
      <c r="O39">
        <v>-2</v>
      </c>
      <c r="P39">
        <f>'standard variables'!V39</f>
        <v>-2</v>
      </c>
      <c r="Q39">
        <v>4287</v>
      </c>
      <c r="R39">
        <v>2331</v>
      </c>
      <c r="S39">
        <v>-2</v>
      </c>
      <c r="T39">
        <v>-2</v>
      </c>
      <c r="U39">
        <v>-2</v>
      </c>
    </row>
    <row r="40" spans="1:21" ht="12.75">
      <c r="A40">
        <f t="shared" si="1"/>
        <v>1954</v>
      </c>
      <c r="B40" s="10" t="s">
        <v>120</v>
      </c>
      <c r="C40" s="9" t="s">
        <v>149</v>
      </c>
      <c r="D40">
        <f>'standard variables'!D40</f>
        <v>1247</v>
      </c>
      <c r="E40">
        <v>-2</v>
      </c>
      <c r="F40">
        <v>-2</v>
      </c>
      <c r="G40">
        <v>-2</v>
      </c>
      <c r="H40">
        <v>-2</v>
      </c>
      <c r="I40">
        <v>-2</v>
      </c>
      <c r="J40">
        <f>'standard variables'!D40</f>
        <v>1247</v>
      </c>
      <c r="K40">
        <v>-2</v>
      </c>
      <c r="L40">
        <v>-2</v>
      </c>
      <c r="M40">
        <v>-2</v>
      </c>
      <c r="N40">
        <v>-2</v>
      </c>
      <c r="O40">
        <v>-2</v>
      </c>
      <c r="P40">
        <f>'standard variables'!V40</f>
        <v>-2</v>
      </c>
      <c r="Q40">
        <v>4173</v>
      </c>
      <c r="R40">
        <v>2213</v>
      </c>
      <c r="S40">
        <v>-2</v>
      </c>
      <c r="T40">
        <v>-2</v>
      </c>
      <c r="U40">
        <v>-2</v>
      </c>
    </row>
    <row r="41" spans="1:21" ht="12.75">
      <c r="A41">
        <f t="shared" si="1"/>
        <v>1955</v>
      </c>
      <c r="B41" s="10" t="s">
        <v>120</v>
      </c>
      <c r="C41" s="9" t="s">
        <v>149</v>
      </c>
      <c r="D41">
        <f>'standard variables'!D41</f>
        <v>1289</v>
      </c>
      <c r="E41">
        <v>-2</v>
      </c>
      <c r="F41">
        <v>-2</v>
      </c>
      <c r="G41">
        <v>-2</v>
      </c>
      <c r="H41">
        <v>-2</v>
      </c>
      <c r="I41">
        <v>-2</v>
      </c>
      <c r="J41">
        <f>'standard variables'!D41</f>
        <v>1289</v>
      </c>
      <c r="K41">
        <v>-2</v>
      </c>
      <c r="L41">
        <v>-2</v>
      </c>
      <c r="M41">
        <v>-2</v>
      </c>
      <c r="N41">
        <v>-2</v>
      </c>
      <c r="O41">
        <v>-2</v>
      </c>
      <c r="P41">
        <f>'standard variables'!V41</f>
        <v>-2</v>
      </c>
      <c r="Q41">
        <v>4262</v>
      </c>
      <c r="R41">
        <v>2253</v>
      </c>
      <c r="S41">
        <v>-2</v>
      </c>
      <c r="T41">
        <v>-2</v>
      </c>
      <c r="U41">
        <v>-2</v>
      </c>
    </row>
    <row r="42" spans="1:21" ht="12.75">
      <c r="A42">
        <f t="shared" si="1"/>
        <v>1956</v>
      </c>
      <c r="B42" s="10" t="s">
        <v>120</v>
      </c>
      <c r="C42" s="9" t="s">
        <v>149</v>
      </c>
      <c r="D42">
        <f>'standard variables'!D42</f>
        <v>1335</v>
      </c>
      <c r="E42">
        <v>-2</v>
      </c>
      <c r="F42">
        <v>-2</v>
      </c>
      <c r="G42">
        <v>-2</v>
      </c>
      <c r="H42">
        <v>-2</v>
      </c>
      <c r="I42">
        <v>-2</v>
      </c>
      <c r="J42">
        <f>'standard variables'!D42</f>
        <v>1335</v>
      </c>
      <c r="K42">
        <v>-2</v>
      </c>
      <c r="L42">
        <v>-2</v>
      </c>
      <c r="M42">
        <v>-2</v>
      </c>
      <c r="N42">
        <v>-2</v>
      </c>
      <c r="O42">
        <v>-2</v>
      </c>
      <c r="P42">
        <f>'standard variables'!V42</f>
        <v>-2</v>
      </c>
      <c r="Q42">
        <v>4343</v>
      </c>
      <c r="R42">
        <v>2275</v>
      </c>
      <c r="S42">
        <v>-2</v>
      </c>
      <c r="T42">
        <v>-2</v>
      </c>
      <c r="U42">
        <v>-2</v>
      </c>
    </row>
    <row r="43" spans="1:21" ht="12.75">
      <c r="A43">
        <f t="shared" si="1"/>
        <v>1957</v>
      </c>
      <c r="B43" s="10" t="s">
        <v>120</v>
      </c>
      <c r="C43" s="9" t="s">
        <v>149</v>
      </c>
      <c r="D43">
        <f>'standard variables'!D43</f>
        <v>1372</v>
      </c>
      <c r="E43">
        <v>-2</v>
      </c>
      <c r="F43">
        <v>-2</v>
      </c>
      <c r="G43">
        <v>-2</v>
      </c>
      <c r="H43">
        <v>-2</v>
      </c>
      <c r="I43">
        <v>-2</v>
      </c>
      <c r="J43">
        <f>'standard variables'!D43</f>
        <v>1372</v>
      </c>
      <c r="K43">
        <v>-2</v>
      </c>
      <c r="L43">
        <v>-2</v>
      </c>
      <c r="M43">
        <v>-2</v>
      </c>
      <c r="N43">
        <v>-2</v>
      </c>
      <c r="O43">
        <v>-2</v>
      </c>
      <c r="P43">
        <f>'standard variables'!V43</f>
        <v>-2</v>
      </c>
      <c r="Q43">
        <v>4434</v>
      </c>
      <c r="R43">
        <v>2309</v>
      </c>
      <c r="S43">
        <v>-2</v>
      </c>
      <c r="T43">
        <v>-2</v>
      </c>
      <c r="U43">
        <v>-2</v>
      </c>
    </row>
    <row r="44" spans="1:21" ht="12.75">
      <c r="A44">
        <f t="shared" si="1"/>
        <v>1958</v>
      </c>
      <c r="B44" s="10" t="s">
        <v>120</v>
      </c>
      <c r="C44" s="9" t="s">
        <v>149</v>
      </c>
      <c r="D44">
        <f>'standard variables'!D44</f>
        <v>1419</v>
      </c>
      <c r="E44">
        <v>-2</v>
      </c>
      <c r="F44">
        <v>-2</v>
      </c>
      <c r="G44">
        <v>-2</v>
      </c>
      <c r="H44">
        <v>-2</v>
      </c>
      <c r="I44">
        <v>-2</v>
      </c>
      <c r="J44">
        <f>'standard variables'!D44</f>
        <v>1419</v>
      </c>
      <c r="K44">
        <v>-2</v>
      </c>
      <c r="L44">
        <v>-2</v>
      </c>
      <c r="M44">
        <v>-2</v>
      </c>
      <c r="N44">
        <v>-2</v>
      </c>
      <c r="O44">
        <v>-2</v>
      </c>
      <c r="P44">
        <f>'standard variables'!V44</f>
        <v>-2</v>
      </c>
      <c r="Q44">
        <v>4682</v>
      </c>
      <c r="R44">
        <v>2383</v>
      </c>
      <c r="S44">
        <v>-2</v>
      </c>
      <c r="T44">
        <v>-2</v>
      </c>
      <c r="U44">
        <v>-2</v>
      </c>
    </row>
    <row r="45" spans="1:21" ht="12.75">
      <c r="A45">
        <f t="shared" si="1"/>
        <v>1959</v>
      </c>
      <c r="B45" s="10" t="s">
        <v>120</v>
      </c>
      <c r="C45" s="9" t="s">
        <v>149</v>
      </c>
      <c r="D45">
        <f>'standard variables'!D45</f>
        <v>1444</v>
      </c>
      <c r="E45">
        <v>-2</v>
      </c>
      <c r="F45">
        <v>-2</v>
      </c>
      <c r="G45">
        <v>-2</v>
      </c>
      <c r="H45">
        <v>-2</v>
      </c>
      <c r="I45">
        <v>-2</v>
      </c>
      <c r="J45">
        <f>'standard variables'!D45</f>
        <v>1444</v>
      </c>
      <c r="K45">
        <v>-2</v>
      </c>
      <c r="L45">
        <v>-2</v>
      </c>
      <c r="M45">
        <v>-2</v>
      </c>
      <c r="N45">
        <v>-2</v>
      </c>
      <c r="O45">
        <v>-2</v>
      </c>
      <c r="P45">
        <f>'standard variables'!V45</f>
        <v>-2</v>
      </c>
      <c r="Q45">
        <v>4903</v>
      </c>
      <c r="R45">
        <v>2530</v>
      </c>
      <c r="S45">
        <v>-2</v>
      </c>
      <c r="T45">
        <v>-2</v>
      </c>
      <c r="U45">
        <v>-2</v>
      </c>
    </row>
    <row r="46" spans="1:21" ht="12.75">
      <c r="A46">
        <f t="shared" si="1"/>
        <v>1960</v>
      </c>
      <c r="B46" s="10" t="s">
        <v>120</v>
      </c>
      <c r="C46" s="9" t="s">
        <v>149</v>
      </c>
      <c r="D46">
        <f>'standard variables'!D46</f>
        <v>1487</v>
      </c>
      <c r="E46">
        <v>-2</v>
      </c>
      <c r="F46">
        <v>-2</v>
      </c>
      <c r="G46">
        <v>-2</v>
      </c>
      <c r="H46">
        <v>-2</v>
      </c>
      <c r="I46">
        <v>-2</v>
      </c>
      <c r="J46">
        <f>'standard variables'!D46</f>
        <v>1487</v>
      </c>
      <c r="K46">
        <v>-2</v>
      </c>
      <c r="L46">
        <v>-2</v>
      </c>
      <c r="M46">
        <v>-2</v>
      </c>
      <c r="N46">
        <v>-2</v>
      </c>
      <c r="O46">
        <v>-2</v>
      </c>
      <c r="P46">
        <f>'standard variables'!V46</f>
        <v>-2</v>
      </c>
      <c r="Q46">
        <v>4922</v>
      </c>
      <c r="R46">
        <v>2559</v>
      </c>
      <c r="S46">
        <v>-2</v>
      </c>
      <c r="T46">
        <v>-2</v>
      </c>
      <c r="U46">
        <v>-2</v>
      </c>
    </row>
    <row r="47" spans="1:21" ht="12.75">
      <c r="A47">
        <f t="shared" si="1"/>
        <v>1961</v>
      </c>
      <c r="B47" s="10" t="s">
        <v>120</v>
      </c>
      <c r="C47" s="9" t="s">
        <v>149</v>
      </c>
      <c r="D47">
        <f>'standard variables'!D47</f>
        <v>1516</v>
      </c>
      <c r="E47">
        <v>-2</v>
      </c>
      <c r="F47">
        <v>-2</v>
      </c>
      <c r="G47">
        <v>-2</v>
      </c>
      <c r="H47">
        <v>-2</v>
      </c>
      <c r="I47">
        <v>-2</v>
      </c>
      <c r="J47">
        <f>'standard variables'!D47</f>
        <v>1516</v>
      </c>
      <c r="K47">
        <v>-2</v>
      </c>
      <c r="L47">
        <v>-2</v>
      </c>
      <c r="M47">
        <v>-2</v>
      </c>
      <c r="N47">
        <v>-2</v>
      </c>
      <c r="O47">
        <v>-2</v>
      </c>
      <c r="P47">
        <f>'standard variables'!V47</f>
        <v>-2</v>
      </c>
      <c r="Q47">
        <v>5149</v>
      </c>
      <c r="R47">
        <v>2685</v>
      </c>
      <c r="S47">
        <v>-2</v>
      </c>
      <c r="T47">
        <v>-2</v>
      </c>
      <c r="U47">
        <v>-2</v>
      </c>
    </row>
    <row r="48" spans="1:21" ht="12.75">
      <c r="A48">
        <f t="shared" si="1"/>
        <v>1962</v>
      </c>
      <c r="B48" s="10" t="s">
        <v>120</v>
      </c>
      <c r="C48" s="9" t="s">
        <v>149</v>
      </c>
      <c r="D48">
        <f>'standard variables'!D48</f>
        <v>1543</v>
      </c>
      <c r="E48">
        <v>-2</v>
      </c>
      <c r="F48">
        <v>-2</v>
      </c>
      <c r="G48">
        <v>-2</v>
      </c>
      <c r="H48">
        <v>-2</v>
      </c>
      <c r="I48">
        <v>-2</v>
      </c>
      <c r="J48">
        <f>'standard variables'!D48</f>
        <v>1543</v>
      </c>
      <c r="K48">
        <v>-2</v>
      </c>
      <c r="L48">
        <v>-2</v>
      </c>
      <c r="M48">
        <v>-2</v>
      </c>
      <c r="N48">
        <v>-2</v>
      </c>
      <c r="O48">
        <v>-2</v>
      </c>
      <c r="P48">
        <f>'standard variables'!V48</f>
        <v>-2</v>
      </c>
      <c r="Q48">
        <v>5264</v>
      </c>
      <c r="R48">
        <v>2770</v>
      </c>
      <c r="S48">
        <v>-2</v>
      </c>
      <c r="T48">
        <v>-2</v>
      </c>
      <c r="U48">
        <v>-2</v>
      </c>
    </row>
    <row r="49" spans="1:21" ht="12.75">
      <c r="A49">
        <f t="shared" si="1"/>
        <v>1963</v>
      </c>
      <c r="B49" s="10" t="s">
        <v>120</v>
      </c>
      <c r="C49" s="9" t="s">
        <v>149</v>
      </c>
      <c r="D49">
        <f>'standard variables'!D49</f>
        <v>-2</v>
      </c>
      <c r="E49">
        <v>-2</v>
      </c>
      <c r="F49">
        <v>-2</v>
      </c>
      <c r="G49">
        <v>-2</v>
      </c>
      <c r="H49">
        <v>-2</v>
      </c>
      <c r="I49">
        <v>-2</v>
      </c>
      <c r="J49">
        <f>'standard variables'!D49</f>
        <v>-2</v>
      </c>
      <c r="K49">
        <v>-2</v>
      </c>
      <c r="L49">
        <v>-2</v>
      </c>
      <c r="M49">
        <v>-2</v>
      </c>
      <c r="N49">
        <v>-2</v>
      </c>
      <c r="O49">
        <v>-2</v>
      </c>
      <c r="P49">
        <f>'standard variables'!V49</f>
        <v>-2</v>
      </c>
      <c r="Q49">
        <v>-2</v>
      </c>
      <c r="R49">
        <v>-2</v>
      </c>
      <c r="S49">
        <v>-2</v>
      </c>
      <c r="T49">
        <v>-2</v>
      </c>
      <c r="U49">
        <v>-2</v>
      </c>
    </row>
    <row r="50" spans="1:21" ht="12.75">
      <c r="A50">
        <f t="shared" si="1"/>
        <v>1964</v>
      </c>
      <c r="B50" s="10" t="s">
        <v>120</v>
      </c>
      <c r="C50" s="9" t="s">
        <v>149</v>
      </c>
      <c r="D50">
        <f>'standard variables'!D50</f>
        <v>-2</v>
      </c>
      <c r="E50">
        <v>-2</v>
      </c>
      <c r="F50">
        <v>-2</v>
      </c>
      <c r="G50">
        <v>-2</v>
      </c>
      <c r="H50">
        <v>-2</v>
      </c>
      <c r="I50">
        <v>-2</v>
      </c>
      <c r="J50">
        <f>'standard variables'!D50</f>
        <v>-2</v>
      </c>
      <c r="K50">
        <v>-2</v>
      </c>
      <c r="L50">
        <v>-2</v>
      </c>
      <c r="M50">
        <v>-2</v>
      </c>
      <c r="N50">
        <v>-2</v>
      </c>
      <c r="O50">
        <v>-2</v>
      </c>
      <c r="P50">
        <f>'standard variables'!V50</f>
        <v>-2</v>
      </c>
      <c r="Q50">
        <v>-2</v>
      </c>
      <c r="R50">
        <v>-2</v>
      </c>
      <c r="S50">
        <v>-2</v>
      </c>
      <c r="T50">
        <v>-2</v>
      </c>
      <c r="U50">
        <v>-2</v>
      </c>
    </row>
    <row r="51" spans="1:21" ht="12.75">
      <c r="A51">
        <f t="shared" si="1"/>
        <v>1965</v>
      </c>
      <c r="B51" s="10" t="s">
        <v>120</v>
      </c>
      <c r="C51" s="9" t="s">
        <v>149</v>
      </c>
      <c r="D51">
        <f>'standard variables'!D51</f>
        <v>-2</v>
      </c>
      <c r="E51">
        <v>-2</v>
      </c>
      <c r="F51">
        <v>-2</v>
      </c>
      <c r="G51">
        <v>-2</v>
      </c>
      <c r="H51">
        <v>-2</v>
      </c>
      <c r="I51">
        <v>-2</v>
      </c>
      <c r="J51">
        <f>'standard variables'!D51</f>
        <v>-2</v>
      </c>
      <c r="K51">
        <v>-2</v>
      </c>
      <c r="L51">
        <v>-2</v>
      </c>
      <c r="M51">
        <v>-2</v>
      </c>
      <c r="N51">
        <v>-2</v>
      </c>
      <c r="O51">
        <v>-2</v>
      </c>
      <c r="P51">
        <f>'standard variables'!V51</f>
        <v>-2</v>
      </c>
      <c r="Q51">
        <v>-2</v>
      </c>
      <c r="R51">
        <v>-2</v>
      </c>
      <c r="S51">
        <v>-2</v>
      </c>
      <c r="T51">
        <v>-2</v>
      </c>
      <c r="U51">
        <v>-2</v>
      </c>
    </row>
    <row r="52" spans="1:21" ht="12.75">
      <c r="A52">
        <f t="shared" si="1"/>
        <v>1966</v>
      </c>
      <c r="B52" s="10" t="s">
        <v>120</v>
      </c>
      <c r="C52" s="9" t="s">
        <v>149</v>
      </c>
      <c r="D52">
        <f>'standard variables'!D52</f>
        <v>-2</v>
      </c>
      <c r="E52">
        <v>-2</v>
      </c>
      <c r="F52">
        <v>-2</v>
      </c>
      <c r="G52">
        <v>-2</v>
      </c>
      <c r="H52">
        <v>-2</v>
      </c>
      <c r="I52">
        <v>-2</v>
      </c>
      <c r="J52">
        <f>'standard variables'!D52</f>
        <v>-2</v>
      </c>
      <c r="K52">
        <v>-2</v>
      </c>
      <c r="L52">
        <v>-2</v>
      </c>
      <c r="M52">
        <v>-2</v>
      </c>
      <c r="N52">
        <v>-2</v>
      </c>
      <c r="O52">
        <v>-2</v>
      </c>
      <c r="P52">
        <f>'standard variables'!V52</f>
        <v>-2</v>
      </c>
      <c r="Q52">
        <v>-2</v>
      </c>
      <c r="R52">
        <v>-2</v>
      </c>
      <c r="S52">
        <v>-2</v>
      </c>
      <c r="T52">
        <v>-2</v>
      </c>
      <c r="U52">
        <v>-2</v>
      </c>
    </row>
    <row r="53" spans="1:21" ht="12.75">
      <c r="A53">
        <f t="shared" si="1"/>
        <v>1967</v>
      </c>
      <c r="B53" s="10" t="s">
        <v>120</v>
      </c>
      <c r="C53" s="9" t="s">
        <v>149</v>
      </c>
      <c r="D53">
        <f>'standard variables'!D53</f>
        <v>1875</v>
      </c>
      <c r="E53">
        <f>1117+734</f>
        <v>1851</v>
      </c>
      <c r="F53">
        <f>17+7</f>
        <v>24</v>
      </c>
      <c r="G53">
        <v>69</v>
      </c>
      <c r="H53">
        <v>323</v>
      </c>
      <c r="I53">
        <v>-2</v>
      </c>
      <c r="J53">
        <f>'standard variables'!D53</f>
        <v>1875</v>
      </c>
      <c r="K53">
        <v>-2</v>
      </c>
      <c r="L53">
        <v>-2</v>
      </c>
      <c r="M53">
        <v>-2</v>
      </c>
      <c r="N53">
        <v>-2</v>
      </c>
      <c r="O53">
        <v>-2</v>
      </c>
      <c r="P53">
        <f>'standard variables'!V53</f>
        <v>4395</v>
      </c>
      <c r="Q53">
        <f aca="true" t="shared" si="2" ref="Q53:Q58">SUM(R53:U53)</f>
        <v>7907</v>
      </c>
      <c r="R53">
        <v>3780</v>
      </c>
      <c r="S53">
        <v>229</v>
      </c>
      <c r="T53">
        <v>386</v>
      </c>
      <c r="U53">
        <f>1373+247+1892</f>
        <v>3512</v>
      </c>
    </row>
    <row r="54" spans="1:21" ht="12.75">
      <c r="A54">
        <f t="shared" si="1"/>
        <v>1968</v>
      </c>
      <c r="B54" s="10" t="s">
        <v>120</v>
      </c>
      <c r="C54" s="9" t="s">
        <v>149</v>
      </c>
      <c r="D54">
        <f>'standard variables'!D54</f>
        <v>1921</v>
      </c>
      <c r="E54">
        <f>1138+758</f>
        <v>1896</v>
      </c>
      <c r="F54">
        <f>17+8</f>
        <v>25</v>
      </c>
      <c r="G54">
        <v>66</v>
      </c>
      <c r="H54">
        <v>428</v>
      </c>
      <c r="I54">
        <v>-2</v>
      </c>
      <c r="J54">
        <f>'standard variables'!D54</f>
        <v>1921</v>
      </c>
      <c r="K54">
        <v>-2</v>
      </c>
      <c r="L54">
        <v>-2</v>
      </c>
      <c r="M54">
        <v>-2</v>
      </c>
      <c r="N54">
        <v>-2</v>
      </c>
      <c r="O54">
        <v>-2</v>
      </c>
      <c r="P54">
        <f>'standard variables'!V54</f>
        <v>4480</v>
      </c>
      <c r="Q54">
        <f t="shared" si="2"/>
        <v>8176</v>
      </c>
      <c r="R54">
        <v>3883</v>
      </c>
      <c r="S54">
        <v>224</v>
      </c>
      <c r="T54">
        <v>373</v>
      </c>
      <c r="U54">
        <f>1538+271+1887</f>
        <v>3696</v>
      </c>
    </row>
    <row r="55" spans="1:21" ht="12.75">
      <c r="A55">
        <f t="shared" si="1"/>
        <v>1969</v>
      </c>
      <c r="B55" s="10" t="s">
        <v>120</v>
      </c>
      <c r="C55" s="9" t="s">
        <v>149</v>
      </c>
      <c r="D55">
        <f>'standard variables'!D55</f>
        <v>1962</v>
      </c>
      <c r="E55">
        <f>1179+758</f>
        <v>1937</v>
      </c>
      <c r="F55">
        <f>15+10</f>
        <v>25</v>
      </c>
      <c r="G55">
        <v>59</v>
      </c>
      <c r="H55">
        <v>439</v>
      </c>
      <c r="I55">
        <v>-2</v>
      </c>
      <c r="J55">
        <f>'standard variables'!D55</f>
        <v>1962</v>
      </c>
      <c r="K55">
        <v>891</v>
      </c>
      <c r="L55">
        <v>1071</v>
      </c>
      <c r="M55">
        <v>1840</v>
      </c>
      <c r="N55">
        <v>69</v>
      </c>
      <c r="O55">
        <v>53</v>
      </c>
      <c r="P55">
        <f>'standard variables'!V55</f>
        <v>4780</v>
      </c>
      <c r="Q55">
        <f t="shared" si="2"/>
        <v>8583</v>
      </c>
      <c r="R55">
        <v>4123</v>
      </c>
      <c r="S55">
        <v>246</v>
      </c>
      <c r="T55">
        <v>411</v>
      </c>
      <c r="U55">
        <f>1599+408+1796</f>
        <v>3803</v>
      </c>
    </row>
    <row r="56" spans="1:21" ht="12.75">
      <c r="A56">
        <f t="shared" si="1"/>
        <v>1970</v>
      </c>
      <c r="B56" s="10" t="s">
        <v>120</v>
      </c>
      <c r="C56" s="9" t="s">
        <v>149</v>
      </c>
      <c r="D56">
        <f>'standard variables'!D56</f>
        <v>2079</v>
      </c>
      <c r="E56">
        <f>1248+804</f>
        <v>2052</v>
      </c>
      <c r="F56">
        <f>17+10</f>
        <v>27</v>
      </c>
      <c r="G56">
        <v>18</v>
      </c>
      <c r="H56">
        <v>456</v>
      </c>
      <c r="I56">
        <v>-2</v>
      </c>
      <c r="J56">
        <f>'standard variables'!D56</f>
        <v>2079</v>
      </c>
      <c r="K56">
        <v>970</v>
      </c>
      <c r="L56">
        <v>1109</v>
      </c>
      <c r="M56">
        <v>1951</v>
      </c>
      <c r="N56">
        <v>128</v>
      </c>
      <c r="O56">
        <v>-2</v>
      </c>
      <c r="P56">
        <f>'standard variables'!V56</f>
        <v>5091</v>
      </c>
      <c r="Q56">
        <f t="shared" si="2"/>
        <v>9213</v>
      </c>
      <c r="R56">
        <v>4423</v>
      </c>
      <c r="S56">
        <v>260</v>
      </c>
      <c r="T56">
        <v>408</v>
      </c>
      <c r="U56">
        <f>1712+442+1968</f>
        <v>4122</v>
      </c>
    </row>
    <row r="57" spans="1:21" ht="12.75">
      <c r="A57">
        <f t="shared" si="1"/>
        <v>1971</v>
      </c>
      <c r="B57" s="10" t="s">
        <v>120</v>
      </c>
      <c r="C57" s="9" t="s">
        <v>149</v>
      </c>
      <c r="D57">
        <f>'standard variables'!D57</f>
        <v>2194</v>
      </c>
      <c r="E57">
        <f>1313+851</f>
        <v>2164</v>
      </c>
      <c r="F57">
        <f>18+12</f>
        <v>30</v>
      </c>
      <c r="G57">
        <v>18</v>
      </c>
      <c r="H57">
        <v>519</v>
      </c>
      <c r="I57">
        <v>-2</v>
      </c>
      <c r="J57">
        <f>'standard variables'!D57</f>
        <v>2194</v>
      </c>
      <c r="K57">
        <v>1040</v>
      </c>
      <c r="L57">
        <v>1154</v>
      </c>
      <c r="M57">
        <v>2059</v>
      </c>
      <c r="N57">
        <v>135</v>
      </c>
      <c r="O57">
        <v>-2</v>
      </c>
      <c r="P57">
        <f>'standard variables'!V57</f>
        <v>5459</v>
      </c>
      <c r="Q57">
        <f t="shared" si="2"/>
        <v>9683</v>
      </c>
      <c r="R57">
        <v>4668</v>
      </c>
      <c r="S57">
        <v>317</v>
      </c>
      <c r="T57">
        <v>474</v>
      </c>
      <c r="U57">
        <f>1828+381+2015</f>
        <v>4224</v>
      </c>
    </row>
    <row r="58" spans="1:21" ht="12.75">
      <c r="A58">
        <f t="shared" si="1"/>
        <v>1972</v>
      </c>
      <c r="B58" s="10" t="s">
        <v>120</v>
      </c>
      <c r="C58" s="9" t="s">
        <v>149</v>
      </c>
      <c r="D58">
        <f>'standard variables'!D58</f>
        <v>2236</v>
      </c>
      <c r="E58">
        <v>-2</v>
      </c>
      <c r="F58">
        <v>-2</v>
      </c>
      <c r="G58">
        <v>-2</v>
      </c>
      <c r="H58">
        <v>-2</v>
      </c>
      <c r="I58">
        <v>-2</v>
      </c>
      <c r="J58">
        <f>'standard variables'!D58</f>
        <v>2236</v>
      </c>
      <c r="K58">
        <f>1038+922+71+48</f>
        <v>2079</v>
      </c>
      <c r="L58">
        <f>140+17</f>
        <v>157</v>
      </c>
      <c r="M58">
        <f>1038+140+922</f>
        <v>2100</v>
      </c>
      <c r="N58">
        <f>71+17+48</f>
        <v>136</v>
      </c>
      <c r="O58">
        <v>-2</v>
      </c>
      <c r="P58">
        <f>'standard variables'!V58</f>
        <v>5600</v>
      </c>
      <c r="Q58">
        <f t="shared" si="2"/>
        <v>8907</v>
      </c>
      <c r="R58">
        <v>4332</v>
      </c>
      <c r="S58">
        <v>290</v>
      </c>
      <c r="T58">
        <v>978</v>
      </c>
      <c r="U58">
        <v>3307</v>
      </c>
    </row>
    <row r="59" spans="1:21" ht="12.75">
      <c r="A59">
        <f t="shared" si="1"/>
        <v>1973</v>
      </c>
      <c r="B59" s="10" t="s">
        <v>120</v>
      </c>
      <c r="C59" s="9" t="s">
        <v>149</v>
      </c>
      <c r="D59">
        <f>'standard variables'!D59</f>
        <v>2421</v>
      </c>
      <c r="E59">
        <v>-2</v>
      </c>
      <c r="F59">
        <v>-2</v>
      </c>
      <c r="G59">
        <v>-2</v>
      </c>
      <c r="H59">
        <v>-2</v>
      </c>
      <c r="I59">
        <v>-2</v>
      </c>
      <c r="J59">
        <f>'standard variables'!D59</f>
        <v>2421</v>
      </c>
      <c r="K59">
        <v>-2</v>
      </c>
      <c r="L59">
        <v>-2</v>
      </c>
      <c r="M59">
        <v>-2</v>
      </c>
      <c r="N59">
        <v>-2</v>
      </c>
      <c r="O59">
        <v>-2</v>
      </c>
      <c r="P59">
        <f>'standard variables'!V59</f>
        <v>6097</v>
      </c>
      <c r="Q59">
        <f aca="true" t="shared" si="3" ref="Q59:Q86">SUM(R59:U59)</f>
        <v>9781</v>
      </c>
      <c r="R59">
        <v>4674</v>
      </c>
      <c r="S59">
        <v>299</v>
      </c>
      <c r="T59">
        <v>1124</v>
      </c>
      <c r="U59">
        <v>3684</v>
      </c>
    </row>
    <row r="60" spans="1:21" ht="12.75">
      <c r="A60">
        <f t="shared" si="1"/>
        <v>1974</v>
      </c>
      <c r="B60" s="10" t="s">
        <v>120</v>
      </c>
      <c r="C60" s="9" t="s">
        <v>149</v>
      </c>
      <c r="D60">
        <f>'standard variables'!D60</f>
        <v>2647</v>
      </c>
      <c r="E60">
        <v>-2</v>
      </c>
      <c r="F60">
        <v>-2</v>
      </c>
      <c r="G60">
        <v>-2</v>
      </c>
      <c r="H60">
        <v>-2</v>
      </c>
      <c r="I60">
        <v>-2</v>
      </c>
      <c r="J60">
        <f>'standard variables'!D60</f>
        <v>2647</v>
      </c>
      <c r="K60">
        <v>-2</v>
      </c>
      <c r="L60">
        <v>-2</v>
      </c>
      <c r="M60">
        <v>-2</v>
      </c>
      <c r="N60">
        <v>-2</v>
      </c>
      <c r="O60">
        <v>-2</v>
      </c>
      <c r="P60">
        <f>'standard variables'!V60</f>
        <v>5962</v>
      </c>
      <c r="Q60">
        <f t="shared" si="3"/>
        <v>10592</v>
      </c>
      <c r="R60">
        <v>5083</v>
      </c>
      <c r="S60">
        <v>308</v>
      </c>
      <c r="T60">
        <v>571</v>
      </c>
      <c r="U60">
        <v>4630</v>
      </c>
    </row>
    <row r="61" spans="1:21" ht="12.75">
      <c r="A61">
        <f t="shared" si="1"/>
        <v>1975</v>
      </c>
      <c r="B61" s="10" t="s">
        <v>120</v>
      </c>
      <c r="C61" s="9" t="s">
        <v>149</v>
      </c>
      <c r="D61">
        <f>'standard variables'!D61</f>
        <v>2882</v>
      </c>
      <c r="E61">
        <v>-2</v>
      </c>
      <c r="F61">
        <v>-2</v>
      </c>
      <c r="G61">
        <v>-2</v>
      </c>
      <c r="H61">
        <v>-2</v>
      </c>
      <c r="I61">
        <v>-2</v>
      </c>
      <c r="J61">
        <f>'standard variables'!D61</f>
        <v>2882</v>
      </c>
      <c r="K61">
        <v>-2</v>
      </c>
      <c r="L61">
        <v>-2</v>
      </c>
      <c r="M61">
        <v>-2</v>
      </c>
      <c r="N61">
        <v>-2</v>
      </c>
      <c r="O61">
        <v>-2</v>
      </c>
      <c r="P61">
        <f>'standard variables'!V61</f>
        <v>6974</v>
      </c>
      <c r="Q61">
        <f t="shared" si="3"/>
        <v>11401</v>
      </c>
      <c r="R61">
        <v>5578</v>
      </c>
      <c r="S61">
        <v>243</v>
      </c>
      <c r="T61">
        <v>1153</v>
      </c>
      <c r="U61">
        <v>4427</v>
      </c>
    </row>
    <row r="62" spans="1:21" ht="12.75">
      <c r="A62">
        <f t="shared" si="1"/>
        <v>1976</v>
      </c>
      <c r="B62" s="10" t="s">
        <v>120</v>
      </c>
      <c r="C62" s="9" t="s">
        <v>149</v>
      </c>
      <c r="D62">
        <f>'standard variables'!D62</f>
        <v>3034</v>
      </c>
      <c r="E62">
        <v>-2</v>
      </c>
      <c r="F62">
        <v>-2</v>
      </c>
      <c r="G62">
        <v>-2</v>
      </c>
      <c r="H62">
        <v>-2</v>
      </c>
      <c r="I62">
        <v>-2</v>
      </c>
      <c r="J62">
        <f>'standard variables'!D62</f>
        <v>3034</v>
      </c>
      <c r="K62">
        <v>-2</v>
      </c>
      <c r="L62">
        <v>-2</v>
      </c>
      <c r="M62">
        <v>-2</v>
      </c>
      <c r="N62">
        <v>-2</v>
      </c>
      <c r="O62">
        <v>-2</v>
      </c>
      <c r="P62">
        <f>'standard variables'!V62</f>
        <v>6621</v>
      </c>
      <c r="Q62">
        <f t="shared" si="3"/>
        <v>12076</v>
      </c>
      <c r="R62">
        <v>5989</v>
      </c>
      <c r="S62">
        <v>244</v>
      </c>
      <c r="T62">
        <v>388</v>
      </c>
      <c r="U62">
        <f>2657+2798</f>
        <v>5455</v>
      </c>
    </row>
    <row r="63" spans="1:21" ht="12.75">
      <c r="A63">
        <f t="shared" si="1"/>
        <v>1977</v>
      </c>
      <c r="B63" s="10" t="s">
        <v>120</v>
      </c>
      <c r="C63" s="9" t="s">
        <v>149</v>
      </c>
      <c r="D63">
        <f>'standard variables'!D63</f>
        <v>3189</v>
      </c>
      <c r="E63">
        <v>-2</v>
      </c>
      <c r="F63">
        <v>-2</v>
      </c>
      <c r="G63">
        <v>-2</v>
      </c>
      <c r="H63">
        <v>-2</v>
      </c>
      <c r="I63">
        <v>-2</v>
      </c>
      <c r="J63">
        <f>'standard variables'!D63</f>
        <v>3189</v>
      </c>
      <c r="K63">
        <v>-2</v>
      </c>
      <c r="L63">
        <v>-2</v>
      </c>
      <c r="M63">
        <v>-2</v>
      </c>
      <c r="N63">
        <v>-2</v>
      </c>
      <c r="O63">
        <v>-2</v>
      </c>
      <c r="P63">
        <f>'standard variables'!V63</f>
        <v>6991</v>
      </c>
      <c r="Q63">
        <f t="shared" si="3"/>
        <v>12652</v>
      </c>
      <c r="R63">
        <v>6497</v>
      </c>
      <c r="S63">
        <v>185</v>
      </c>
      <c r="T63">
        <v>309</v>
      </c>
      <c r="U63">
        <f>2863+2798</f>
        <v>5661</v>
      </c>
    </row>
    <row r="64" spans="1:21" ht="12.75">
      <c r="A64">
        <f t="shared" si="1"/>
        <v>1978</v>
      </c>
      <c r="B64" s="10" t="s">
        <v>120</v>
      </c>
      <c r="C64" s="9" t="s">
        <v>149</v>
      </c>
      <c r="D64">
        <f>'standard variables'!D64</f>
        <v>3360</v>
      </c>
      <c r="E64">
        <v>-2</v>
      </c>
      <c r="F64">
        <v>-2</v>
      </c>
      <c r="G64">
        <v>-2</v>
      </c>
      <c r="H64">
        <v>-2</v>
      </c>
      <c r="I64">
        <v>-2</v>
      </c>
      <c r="J64">
        <f>'standard variables'!D64</f>
        <v>3360</v>
      </c>
      <c r="K64">
        <v>-2</v>
      </c>
      <c r="L64">
        <v>-2</v>
      </c>
      <c r="M64">
        <v>-2</v>
      </c>
      <c r="N64">
        <v>-2</v>
      </c>
      <c r="O64">
        <v>-2</v>
      </c>
      <c r="P64">
        <f>'standard variables'!V64</f>
        <v>7239</v>
      </c>
      <c r="Q64">
        <f t="shared" si="3"/>
        <v>13086</v>
      </c>
      <c r="R64">
        <v>6860</v>
      </c>
      <c r="S64">
        <v>163</v>
      </c>
      <c r="T64">
        <v>216</v>
      </c>
      <c r="U64">
        <f>3044+2803</f>
        <v>5847</v>
      </c>
    </row>
    <row r="65" spans="1:21" ht="12.75">
      <c r="A65">
        <f t="shared" si="1"/>
        <v>1979</v>
      </c>
      <c r="B65" s="10" t="s">
        <v>120</v>
      </c>
      <c r="C65" s="9" t="s">
        <v>149</v>
      </c>
      <c r="D65">
        <f>'standard variables'!D65</f>
        <v>3448</v>
      </c>
      <c r="E65">
        <v>-2</v>
      </c>
      <c r="F65">
        <v>-2</v>
      </c>
      <c r="G65">
        <v>-2</v>
      </c>
      <c r="H65">
        <v>-2</v>
      </c>
      <c r="I65">
        <v>-2</v>
      </c>
      <c r="J65">
        <f>'standard variables'!D65</f>
        <v>3448</v>
      </c>
      <c r="K65">
        <v>-2</v>
      </c>
      <c r="L65">
        <v>-2</v>
      </c>
      <c r="M65">
        <v>-2</v>
      </c>
      <c r="N65">
        <v>-2</v>
      </c>
      <c r="O65">
        <v>-2</v>
      </c>
      <c r="P65">
        <f>'standard variables'!V65</f>
        <v>7465</v>
      </c>
      <c r="Q65">
        <f t="shared" si="3"/>
        <v>13393</v>
      </c>
      <c r="R65">
        <v>7112</v>
      </c>
      <c r="S65">
        <v>163</v>
      </c>
      <c r="T65">
        <v>190</v>
      </c>
      <c r="U65">
        <f>3066+2862</f>
        <v>5928</v>
      </c>
    </row>
    <row r="66" spans="1:21" ht="12.75">
      <c r="A66">
        <f t="shared" si="1"/>
        <v>1980</v>
      </c>
      <c r="B66" s="10" t="s">
        <v>120</v>
      </c>
      <c r="C66" s="9" t="s">
        <v>149</v>
      </c>
      <c r="D66">
        <f>'standard variables'!D66</f>
        <v>3477</v>
      </c>
      <c r="E66">
        <v>3423</v>
      </c>
      <c r="F66">
        <v>54</v>
      </c>
      <c r="G66">
        <v>-2</v>
      </c>
      <c r="H66">
        <v>-2</v>
      </c>
      <c r="I66">
        <v>-2</v>
      </c>
      <c r="J66">
        <f>'standard variables'!D66</f>
        <v>3477</v>
      </c>
      <c r="K66">
        <v>-2</v>
      </c>
      <c r="L66">
        <v>-2</v>
      </c>
      <c r="M66">
        <v>-2</v>
      </c>
      <c r="N66">
        <v>-2</v>
      </c>
      <c r="O66">
        <v>-2</v>
      </c>
      <c r="P66">
        <f>'standard variables'!V66</f>
        <v>7618</v>
      </c>
      <c r="Q66">
        <f t="shared" si="3"/>
        <v>13521</v>
      </c>
      <c r="R66">
        <v>7258</v>
      </c>
      <c r="S66">
        <v>183</v>
      </c>
      <c r="T66">
        <v>177</v>
      </c>
      <c r="U66">
        <f>3135+2768</f>
        <v>5903</v>
      </c>
    </row>
    <row r="67" spans="1:21" ht="12.75">
      <c r="A67">
        <f t="shared" si="1"/>
        <v>1981</v>
      </c>
      <c r="B67" s="10" t="s">
        <v>120</v>
      </c>
      <c r="C67" s="9" t="s">
        <v>149</v>
      </c>
      <c r="D67">
        <f>'standard variables'!D67</f>
        <v>3534</v>
      </c>
      <c r="E67">
        <v>3444</v>
      </c>
      <c r="F67">
        <v>56</v>
      </c>
      <c r="G67">
        <v>34</v>
      </c>
      <c r="H67">
        <v>-2</v>
      </c>
      <c r="I67">
        <v>-2</v>
      </c>
      <c r="J67">
        <f>'standard variables'!D67</f>
        <v>3534</v>
      </c>
      <c r="K67">
        <v>-2</v>
      </c>
      <c r="L67">
        <v>-2</v>
      </c>
      <c r="M67">
        <v>-2</v>
      </c>
      <c r="N67">
        <v>-2</v>
      </c>
      <c r="O67">
        <v>-2</v>
      </c>
      <c r="P67">
        <f>'standard variables'!V67</f>
        <v>7748</v>
      </c>
      <c r="Q67">
        <f t="shared" si="3"/>
        <v>13773</v>
      </c>
      <c r="R67">
        <v>7405</v>
      </c>
      <c r="S67">
        <v>185</v>
      </c>
      <c r="T67">
        <v>158</v>
      </c>
      <c r="U67">
        <f>3160+2865</f>
        <v>6025</v>
      </c>
    </row>
    <row r="68" spans="1:21" ht="12.75">
      <c r="A68">
        <f t="shared" si="1"/>
        <v>1982</v>
      </c>
      <c r="B68" s="10" t="s">
        <v>120</v>
      </c>
      <c r="C68" s="9" t="s">
        <v>149</v>
      </c>
      <c r="D68">
        <f>'standard variables'!D68</f>
        <v>3554</v>
      </c>
      <c r="E68">
        <v>3462</v>
      </c>
      <c r="F68">
        <v>57</v>
      </c>
      <c r="G68">
        <v>35</v>
      </c>
      <c r="H68">
        <v>-2</v>
      </c>
      <c r="I68">
        <v>-2</v>
      </c>
      <c r="J68">
        <f>'standard variables'!D68</f>
        <v>3554</v>
      </c>
      <c r="K68">
        <v>-2</v>
      </c>
      <c r="L68">
        <v>-2</v>
      </c>
      <c r="M68">
        <v>-2</v>
      </c>
      <c r="N68">
        <v>-2</v>
      </c>
      <c r="O68">
        <v>-2</v>
      </c>
      <c r="P68">
        <f>'standard variables'!V68</f>
        <v>7821</v>
      </c>
      <c r="Q68">
        <f t="shared" si="3"/>
        <v>13796</v>
      </c>
      <c r="R68">
        <v>7500</v>
      </c>
      <c r="S68">
        <v>157</v>
      </c>
      <c r="T68">
        <v>164</v>
      </c>
      <c r="U68">
        <f>3097+2878</f>
        <v>5975</v>
      </c>
    </row>
    <row r="69" spans="1:21" ht="12.75">
      <c r="A69">
        <f t="shared" si="1"/>
        <v>1983</v>
      </c>
      <c r="B69" s="10" t="s">
        <v>120</v>
      </c>
      <c r="C69" s="9" t="s">
        <v>149</v>
      </c>
      <c r="D69">
        <f>'standard variables'!D69</f>
        <v>3520</v>
      </c>
      <c r="E69">
        <v>3485</v>
      </c>
      <c r="F69">
        <v>59</v>
      </c>
      <c r="G69">
        <v>36</v>
      </c>
      <c r="H69">
        <v>-2</v>
      </c>
      <c r="I69">
        <v>-2</v>
      </c>
      <c r="J69">
        <f>'standard variables'!D69</f>
        <v>3520</v>
      </c>
      <c r="K69">
        <v>-2</v>
      </c>
      <c r="L69">
        <v>-2</v>
      </c>
      <c r="M69">
        <v>-2</v>
      </c>
      <c r="N69">
        <v>-2</v>
      </c>
      <c r="O69">
        <v>-2</v>
      </c>
      <c r="P69">
        <f>'standard variables'!V69</f>
        <v>8021</v>
      </c>
      <c r="Q69">
        <f t="shared" si="3"/>
        <v>13882</v>
      </c>
      <c r="R69">
        <v>7689</v>
      </c>
      <c r="S69">
        <v>181</v>
      </c>
      <c r="T69">
        <v>151</v>
      </c>
      <c r="U69">
        <f>3075+2786</f>
        <v>5861</v>
      </c>
    </row>
    <row r="70" spans="1:21" ht="12.75">
      <c r="A70">
        <f t="shared" si="1"/>
        <v>1984</v>
      </c>
      <c r="B70" s="10" t="s">
        <v>120</v>
      </c>
      <c r="C70" s="9" t="s">
        <v>149</v>
      </c>
      <c r="D70">
        <f>'standard variables'!D70</f>
        <v>3604</v>
      </c>
      <c r="E70">
        <v>3505</v>
      </c>
      <c r="F70">
        <v>63</v>
      </c>
      <c r="G70">
        <v>36</v>
      </c>
      <c r="H70">
        <v>-2</v>
      </c>
      <c r="I70">
        <v>-2</v>
      </c>
      <c r="J70">
        <f>'standard variables'!D70</f>
        <v>3604</v>
      </c>
      <c r="K70">
        <v>-2</v>
      </c>
      <c r="L70">
        <v>-2</v>
      </c>
      <c r="M70">
        <v>-2</v>
      </c>
      <c r="N70">
        <v>-2</v>
      </c>
      <c r="O70">
        <v>-2</v>
      </c>
      <c r="P70">
        <f>'standard variables'!V70</f>
        <v>8213</v>
      </c>
      <c r="Q70">
        <f t="shared" si="3"/>
        <v>14174</v>
      </c>
      <c r="R70">
        <v>7876</v>
      </c>
      <c r="S70">
        <v>195</v>
      </c>
      <c r="T70">
        <v>142</v>
      </c>
      <c r="U70">
        <f>3099+2862</f>
        <v>5961</v>
      </c>
    </row>
    <row r="71" spans="1:21" ht="12.75">
      <c r="A71">
        <f t="shared" si="1"/>
        <v>1985</v>
      </c>
      <c r="B71" s="10" t="s">
        <v>120</v>
      </c>
      <c r="C71" s="9" t="s">
        <v>149</v>
      </c>
      <c r="D71">
        <f>'standard variables'!D71</f>
        <v>3667</v>
      </c>
      <c r="E71">
        <v>3561</v>
      </c>
      <c r="F71">
        <v>69</v>
      </c>
      <c r="G71">
        <v>37</v>
      </c>
      <c r="H71">
        <v>-2</v>
      </c>
      <c r="I71">
        <v>-2</v>
      </c>
      <c r="J71">
        <f>'standard variables'!D71</f>
        <v>3667</v>
      </c>
      <c r="K71">
        <v>-2</v>
      </c>
      <c r="L71">
        <v>-2</v>
      </c>
      <c r="M71">
        <v>-2</v>
      </c>
      <c r="N71">
        <v>-2</v>
      </c>
      <c r="O71">
        <v>-2</v>
      </c>
      <c r="P71">
        <f>'standard variables'!V71</f>
        <v>8474</v>
      </c>
      <c r="Q71">
        <f t="shared" si="3"/>
        <v>14550</v>
      </c>
      <c r="R71">
        <v>8159</v>
      </c>
      <c r="S71">
        <v>162</v>
      </c>
      <c r="T71">
        <v>153</v>
      </c>
      <c r="U71">
        <f>3258+2818</f>
        <v>6076</v>
      </c>
    </row>
    <row r="72" spans="1:21" ht="12.75">
      <c r="A72">
        <f t="shared" si="1"/>
        <v>1986</v>
      </c>
      <c r="B72" s="10" t="s">
        <v>120</v>
      </c>
      <c r="C72" s="9" t="s">
        <v>149</v>
      </c>
      <c r="D72">
        <f>'standard variables'!D72</f>
        <v>3747</v>
      </c>
      <c r="E72">
        <v>3639</v>
      </c>
      <c r="F72">
        <v>71</v>
      </c>
      <c r="G72">
        <v>37</v>
      </c>
      <c r="H72">
        <v>-2</v>
      </c>
      <c r="I72">
        <v>-2</v>
      </c>
      <c r="J72">
        <f>'standard variables'!D72</f>
        <v>3747</v>
      </c>
      <c r="K72">
        <v>-2</v>
      </c>
      <c r="L72">
        <v>-2</v>
      </c>
      <c r="M72">
        <v>-2</v>
      </c>
      <c r="N72">
        <v>-2</v>
      </c>
      <c r="O72">
        <v>-2</v>
      </c>
      <c r="P72">
        <f>'standard variables'!V72</f>
        <v>8810</v>
      </c>
      <c r="Q72">
        <f t="shared" si="3"/>
        <v>15103</v>
      </c>
      <c r="R72">
        <v>8563</v>
      </c>
      <c r="S72">
        <v>127</v>
      </c>
      <c r="T72">
        <v>120</v>
      </c>
      <c r="U72">
        <f>3433+2860</f>
        <v>6293</v>
      </c>
    </row>
    <row r="73" spans="1:21" ht="12.75">
      <c r="A73">
        <f t="shared" si="1"/>
        <v>1987</v>
      </c>
      <c r="B73" s="10" t="s">
        <v>120</v>
      </c>
      <c r="C73" s="9" t="s">
        <v>149</v>
      </c>
      <c r="D73">
        <f>'standard variables'!D73</f>
        <v>3790</v>
      </c>
      <c r="E73">
        <v>3677</v>
      </c>
      <c r="F73">
        <v>77</v>
      </c>
      <c r="G73">
        <v>36</v>
      </c>
      <c r="H73">
        <v>-2</v>
      </c>
      <c r="I73">
        <v>-2</v>
      </c>
      <c r="J73">
        <f>'standard variables'!D73</f>
        <v>3790</v>
      </c>
      <c r="K73">
        <v>-2</v>
      </c>
      <c r="L73">
        <v>-2</v>
      </c>
      <c r="M73">
        <v>-2</v>
      </c>
      <c r="N73">
        <v>-2</v>
      </c>
      <c r="O73">
        <v>-2</v>
      </c>
      <c r="P73">
        <f>'standard variables'!V73</f>
        <v>8965</v>
      </c>
      <c r="Q73">
        <f t="shared" si="3"/>
        <v>15469</v>
      </c>
      <c r="R73">
        <v>8754</v>
      </c>
      <c r="S73">
        <v>119</v>
      </c>
      <c r="T73">
        <v>92</v>
      </c>
      <c r="U73">
        <f>3594+2910</f>
        <v>6504</v>
      </c>
    </row>
    <row r="74" spans="1:21" ht="12.75">
      <c r="A74">
        <f t="shared" si="1"/>
        <v>1988</v>
      </c>
      <c r="B74" s="10" t="s">
        <v>120</v>
      </c>
      <c r="C74" s="9" t="s">
        <v>149</v>
      </c>
      <c r="D74">
        <f>'standard variables'!D74</f>
        <v>3828</v>
      </c>
      <c r="E74">
        <v>3719</v>
      </c>
      <c r="F74">
        <v>72</v>
      </c>
      <c r="G74">
        <v>37</v>
      </c>
      <c r="H74">
        <v>-2</v>
      </c>
      <c r="I74">
        <v>-2</v>
      </c>
      <c r="J74">
        <f>'standard variables'!D74</f>
        <v>3828</v>
      </c>
      <c r="K74">
        <v>-2</v>
      </c>
      <c r="L74">
        <v>-2</v>
      </c>
      <c r="M74">
        <v>-2</v>
      </c>
      <c r="N74">
        <v>-2</v>
      </c>
      <c r="O74">
        <v>-2</v>
      </c>
      <c r="P74">
        <f>'standard variables'!V74</f>
        <v>9072</v>
      </c>
      <c r="Q74">
        <f t="shared" si="3"/>
        <v>15662</v>
      </c>
      <c r="R74">
        <v>8863</v>
      </c>
      <c r="S74">
        <v>130</v>
      </c>
      <c r="T74">
        <v>79</v>
      </c>
      <c r="U74">
        <f>3694+2896</f>
        <v>6590</v>
      </c>
    </row>
    <row r="75" spans="1:21" ht="12.75">
      <c r="A75">
        <f t="shared" si="1"/>
        <v>1989</v>
      </c>
      <c r="B75" s="10" t="s">
        <v>120</v>
      </c>
      <c r="C75" s="9" t="s">
        <v>149</v>
      </c>
      <c r="D75">
        <f>'standard variables'!D75</f>
        <v>3876</v>
      </c>
      <c r="E75">
        <v>3768</v>
      </c>
      <c r="F75">
        <v>72</v>
      </c>
      <c r="G75">
        <v>36</v>
      </c>
      <c r="H75">
        <v>-2</v>
      </c>
      <c r="I75">
        <v>-2</v>
      </c>
      <c r="J75">
        <f>'standard variables'!D75</f>
        <v>3876</v>
      </c>
      <c r="K75">
        <v>-2</v>
      </c>
      <c r="L75">
        <v>-2</v>
      </c>
      <c r="M75">
        <v>-2</v>
      </c>
      <c r="N75">
        <v>-2</v>
      </c>
      <c r="O75">
        <v>-2</v>
      </c>
      <c r="P75">
        <f>'standard variables'!V75</f>
        <v>9285</v>
      </c>
      <c r="Q75">
        <f t="shared" si="3"/>
        <v>16113</v>
      </c>
      <c r="R75">
        <v>9044</v>
      </c>
      <c r="S75">
        <v>138</v>
      </c>
      <c r="T75">
        <v>103</v>
      </c>
      <c r="U75">
        <f>3875+2953</f>
        <v>6828</v>
      </c>
    </row>
    <row r="76" spans="1:21" ht="12.75">
      <c r="A76">
        <f t="shared" si="1"/>
        <v>1990</v>
      </c>
      <c r="B76" s="10" t="s">
        <v>120</v>
      </c>
      <c r="C76" s="9" t="s">
        <v>149</v>
      </c>
      <c r="D76">
        <f>'standard variables'!D76</f>
        <v>3915</v>
      </c>
      <c r="E76">
        <v>3807</v>
      </c>
      <c r="F76">
        <v>72</v>
      </c>
      <c r="G76">
        <v>36</v>
      </c>
      <c r="H76">
        <v>-2</v>
      </c>
      <c r="I76">
        <v>-2</v>
      </c>
      <c r="J76">
        <f>'standard variables'!D76</f>
        <v>3915</v>
      </c>
      <c r="K76">
        <v>-2</v>
      </c>
      <c r="L76">
        <v>-2</v>
      </c>
      <c r="M76">
        <v>-2</v>
      </c>
      <c r="N76">
        <v>-2</v>
      </c>
      <c r="O76">
        <v>-2</v>
      </c>
      <c r="P76">
        <f>'standard variables'!V76</f>
        <v>9645</v>
      </c>
      <c r="Q76">
        <f t="shared" si="3"/>
        <v>16794</v>
      </c>
      <c r="R76">
        <v>9329</v>
      </c>
      <c r="S76">
        <v>177</v>
      </c>
      <c r="T76">
        <v>139</v>
      </c>
      <c r="U76">
        <f>4114+3035</f>
        <v>7149</v>
      </c>
    </row>
    <row r="77" spans="1:21" ht="12.75">
      <c r="A77">
        <f t="shared" si="1"/>
        <v>1991</v>
      </c>
      <c r="B77" s="10" t="s">
        <v>120</v>
      </c>
      <c r="C77" s="9" t="s">
        <v>149</v>
      </c>
      <c r="D77">
        <f>'standard variables'!D77</f>
        <v>3983</v>
      </c>
      <c r="E77">
        <v>3875</v>
      </c>
      <c r="F77">
        <v>72</v>
      </c>
      <c r="G77">
        <v>36</v>
      </c>
      <c r="H77">
        <v>-2</v>
      </c>
      <c r="I77">
        <v>-2</v>
      </c>
      <c r="J77">
        <f>'standard variables'!D77</f>
        <v>3983</v>
      </c>
      <c r="K77">
        <v>-2</v>
      </c>
      <c r="L77">
        <v>-2</v>
      </c>
      <c r="M77">
        <v>-2</v>
      </c>
      <c r="N77">
        <v>-2</v>
      </c>
      <c r="O77">
        <v>-2</v>
      </c>
      <c r="P77">
        <f>'standard variables'!V77</f>
        <v>10031</v>
      </c>
      <c r="Q77">
        <f t="shared" si="3"/>
        <v>17687</v>
      </c>
      <c r="R77">
        <v>9634</v>
      </c>
      <c r="S77">
        <v>194</v>
      </c>
      <c r="T77">
        <v>203</v>
      </c>
      <c r="U77">
        <f>4543+3113</f>
        <v>7656</v>
      </c>
    </row>
    <row r="78" spans="1:21" ht="12.75">
      <c r="A78">
        <f t="shared" si="1"/>
        <v>1992</v>
      </c>
      <c r="B78" s="10" t="s">
        <v>120</v>
      </c>
      <c r="C78" s="9" t="s">
        <v>149</v>
      </c>
      <c r="D78">
        <f>'standard variables'!D78</f>
        <v>4084</v>
      </c>
      <c r="E78">
        <v>3974</v>
      </c>
      <c r="F78">
        <v>73</v>
      </c>
      <c r="G78">
        <v>37</v>
      </c>
      <c r="H78">
        <v>-2</v>
      </c>
      <c r="I78">
        <v>-2</v>
      </c>
      <c r="J78">
        <f>'standard variables'!D78</f>
        <v>4084</v>
      </c>
      <c r="K78">
        <v>-2</v>
      </c>
      <c r="L78">
        <v>-2</v>
      </c>
      <c r="M78">
        <v>-2</v>
      </c>
      <c r="N78">
        <v>-2</v>
      </c>
      <c r="O78">
        <v>-2</v>
      </c>
      <c r="P78">
        <f>'standard variables'!V78</f>
        <v>10420</v>
      </c>
      <c r="Q78">
        <f t="shared" si="3"/>
        <v>18530</v>
      </c>
      <c r="R78">
        <v>9981</v>
      </c>
      <c r="S78">
        <v>217</v>
      </c>
      <c r="T78">
        <v>222</v>
      </c>
      <c r="U78">
        <f>4909+3201</f>
        <v>8110</v>
      </c>
    </row>
    <row r="79" spans="1:21" ht="12.75">
      <c r="A79">
        <f t="shared" si="1"/>
        <v>1993</v>
      </c>
      <c r="B79" s="10" t="s">
        <v>120</v>
      </c>
      <c r="C79" s="9" t="s">
        <v>149</v>
      </c>
      <c r="D79">
        <f>'standard variables'!D79</f>
        <v>4212</v>
      </c>
      <c r="E79">
        <v>4100</v>
      </c>
      <c r="F79">
        <v>75</v>
      </c>
      <c r="G79">
        <v>37</v>
      </c>
      <c r="H79">
        <v>-2</v>
      </c>
      <c r="I79">
        <v>-2</v>
      </c>
      <c r="J79">
        <f>'standard variables'!D79</f>
        <v>4212</v>
      </c>
      <c r="K79">
        <v>-2</v>
      </c>
      <c r="L79">
        <v>-2</v>
      </c>
      <c r="M79">
        <v>-2</v>
      </c>
      <c r="N79">
        <v>-2</v>
      </c>
      <c r="O79">
        <v>-2</v>
      </c>
      <c r="P79">
        <f>'standard variables'!V79</f>
        <v>10911</v>
      </c>
      <c r="Q79">
        <f t="shared" si="3"/>
        <v>19650</v>
      </c>
      <c r="R79">
        <v>10305</v>
      </c>
      <c r="S79">
        <v>360</v>
      </c>
      <c r="T79">
        <v>246</v>
      </c>
      <c r="U79">
        <f>5468+3271</f>
        <v>8739</v>
      </c>
    </row>
    <row r="80" spans="1:21" ht="12.75">
      <c r="A80">
        <f t="shared" si="1"/>
        <v>1994</v>
      </c>
      <c r="B80" s="10" t="s">
        <v>120</v>
      </c>
      <c r="C80" s="9" t="s">
        <v>149</v>
      </c>
      <c r="D80">
        <f>'standard variables'!D80</f>
        <v>4308</v>
      </c>
      <c r="E80">
        <v>4202</v>
      </c>
      <c r="F80">
        <v>69</v>
      </c>
      <c r="G80">
        <v>37</v>
      </c>
      <c r="H80">
        <v>-2</v>
      </c>
      <c r="I80">
        <v>-2</v>
      </c>
      <c r="J80">
        <f>'standard variables'!D80</f>
        <v>4308</v>
      </c>
      <c r="K80">
        <v>-2</v>
      </c>
      <c r="L80">
        <v>-2</v>
      </c>
      <c r="M80">
        <v>-2</v>
      </c>
      <c r="N80">
        <v>-2</v>
      </c>
      <c r="O80">
        <v>-2</v>
      </c>
      <c r="P80">
        <f>'standard variables'!V80</f>
        <v>11558</v>
      </c>
      <c r="Q80">
        <f>SUM(R80:T80)</f>
        <v>11558</v>
      </c>
      <c r="R80">
        <v>10830</v>
      </c>
      <c r="S80">
        <v>417</v>
      </c>
      <c r="T80">
        <v>311</v>
      </c>
      <c r="U80">
        <f>5871+3492</f>
        <v>9363</v>
      </c>
    </row>
    <row r="81" spans="1:21" ht="12.75">
      <c r="A81">
        <f aca="true" t="shared" si="4" ref="A81:A86">A80+1</f>
        <v>1995</v>
      </c>
      <c r="B81" s="10" t="s">
        <v>120</v>
      </c>
      <c r="C81" s="9" t="s">
        <v>149</v>
      </c>
      <c r="D81">
        <f>'standard variables'!D81</f>
        <v>4378</v>
      </c>
      <c r="E81">
        <v>4208</v>
      </c>
      <c r="F81">
        <v>57</v>
      </c>
      <c r="G81">
        <v>37</v>
      </c>
      <c r="H81">
        <v>-2</v>
      </c>
      <c r="I81">
        <v>76</v>
      </c>
      <c r="J81">
        <f>'standard variables'!D81</f>
        <v>4378</v>
      </c>
      <c r="K81">
        <v>-2</v>
      </c>
      <c r="L81">
        <v>-2</v>
      </c>
      <c r="M81">
        <v>-2</v>
      </c>
      <c r="N81">
        <v>-2</v>
      </c>
      <c r="O81">
        <v>-2</v>
      </c>
      <c r="P81">
        <f>'standard variables'!V81</f>
        <v>11741</v>
      </c>
      <c r="Q81">
        <f t="shared" si="3"/>
        <v>21693</v>
      </c>
      <c r="R81">
        <v>11099</v>
      </c>
      <c r="S81">
        <v>395</v>
      </c>
      <c r="T81">
        <v>247</v>
      </c>
      <c r="U81">
        <f>6267+3559+126</f>
        <v>9952</v>
      </c>
    </row>
    <row r="82" spans="1:21" ht="12.75">
      <c r="A82">
        <f t="shared" si="4"/>
        <v>1996</v>
      </c>
      <c r="B82" s="10" t="s">
        <v>120</v>
      </c>
      <c r="C82" s="9" t="s">
        <v>149</v>
      </c>
      <c r="D82">
        <f>'standard variables'!D82</f>
        <v>4467</v>
      </c>
      <c r="E82">
        <v>-2</v>
      </c>
      <c r="F82">
        <v>-2</v>
      </c>
      <c r="G82">
        <v>-2</v>
      </c>
      <c r="H82">
        <v>-2</v>
      </c>
      <c r="I82">
        <v>-2</v>
      </c>
      <c r="J82">
        <f>'standard variables'!D82</f>
        <v>4467</v>
      </c>
      <c r="K82">
        <v>-2</v>
      </c>
      <c r="L82">
        <v>-2</v>
      </c>
      <c r="M82">
        <v>-2</v>
      </c>
      <c r="N82">
        <v>-2</v>
      </c>
      <c r="O82">
        <v>-2</v>
      </c>
      <c r="P82">
        <f>'standard variables'!V82</f>
        <v>12245</v>
      </c>
      <c r="Q82">
        <f t="shared" si="3"/>
        <v>22686</v>
      </c>
      <c r="R82">
        <f>9134+2469</f>
        <v>11603</v>
      </c>
      <c r="S82">
        <f>255+183</f>
        <v>438</v>
      </c>
      <c r="T82">
        <f>162+42</f>
        <v>204</v>
      </c>
      <c r="U82">
        <f>2894+3859+1517+2099+33+39</f>
        <v>10441</v>
      </c>
    </row>
    <row r="83" spans="1:21" ht="12.75">
      <c r="A83">
        <f t="shared" si="4"/>
        <v>1997</v>
      </c>
      <c r="B83" s="10" t="s">
        <v>120</v>
      </c>
      <c r="C83" s="9" t="s">
        <v>149</v>
      </c>
      <c r="D83">
        <f>'standard variables'!D83</f>
        <v>-2</v>
      </c>
      <c r="E83">
        <v>-2</v>
      </c>
      <c r="F83">
        <v>-2</v>
      </c>
      <c r="G83">
        <v>-2</v>
      </c>
      <c r="H83">
        <v>-2</v>
      </c>
      <c r="I83">
        <v>-2</v>
      </c>
      <c r="J83">
        <f>'standard variables'!D83</f>
        <v>-2</v>
      </c>
      <c r="K83">
        <v>-2</v>
      </c>
      <c r="L83">
        <v>-2</v>
      </c>
      <c r="M83">
        <v>-2</v>
      </c>
      <c r="N83">
        <v>-2</v>
      </c>
      <c r="O83">
        <v>-2</v>
      </c>
      <c r="P83">
        <f>'standard variables'!V83</f>
        <v>-2</v>
      </c>
      <c r="Q83">
        <v>-2</v>
      </c>
      <c r="R83">
        <v>-2</v>
      </c>
      <c r="S83">
        <v>-2</v>
      </c>
      <c r="T83">
        <v>-2</v>
      </c>
      <c r="U83">
        <v>-2</v>
      </c>
    </row>
    <row r="84" spans="1:21" ht="12.75">
      <c r="A84">
        <f t="shared" si="4"/>
        <v>1998</v>
      </c>
      <c r="B84" s="10" t="s">
        <v>120</v>
      </c>
      <c r="C84" s="9" t="s">
        <v>149</v>
      </c>
      <c r="D84">
        <f>'standard variables'!D84</f>
        <v>-2</v>
      </c>
      <c r="E84">
        <v>-2</v>
      </c>
      <c r="F84">
        <v>-2</v>
      </c>
      <c r="G84">
        <v>-2</v>
      </c>
      <c r="H84">
        <v>-2</v>
      </c>
      <c r="I84">
        <v>-2</v>
      </c>
      <c r="J84">
        <f>'standard variables'!D84</f>
        <v>-2</v>
      </c>
      <c r="K84">
        <v>-2</v>
      </c>
      <c r="L84">
        <v>-2</v>
      </c>
      <c r="M84">
        <v>-2</v>
      </c>
      <c r="N84">
        <v>-2</v>
      </c>
      <c r="O84">
        <v>-2</v>
      </c>
      <c r="P84">
        <f>'standard variables'!V84</f>
        <v>-2</v>
      </c>
      <c r="Q84">
        <v>-2</v>
      </c>
      <c r="R84">
        <v>-2</v>
      </c>
      <c r="S84">
        <v>-2</v>
      </c>
      <c r="T84">
        <v>-2</v>
      </c>
      <c r="U84">
        <v>-2</v>
      </c>
    </row>
    <row r="85" spans="1:21" ht="12.75">
      <c r="A85">
        <f t="shared" si="4"/>
        <v>1999</v>
      </c>
      <c r="B85" s="10" t="s">
        <v>120</v>
      </c>
      <c r="C85" s="9" t="s">
        <v>149</v>
      </c>
      <c r="D85">
        <f>'standard variables'!D85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f>'standard variables'!D85</f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f>'standard variables'!V85</f>
        <v>0</v>
      </c>
      <c r="Q85">
        <f t="shared" si="3"/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>
        <f t="shared" si="4"/>
        <v>2000</v>
      </c>
      <c r="B86" s="10" t="s">
        <v>120</v>
      </c>
      <c r="C86" s="9" t="s">
        <v>149</v>
      </c>
      <c r="D86">
        <f>'standard variables'!D86</f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f>'standard variables'!D86</f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f>'standard variables'!V86</f>
        <v>0</v>
      </c>
      <c r="Q86">
        <f t="shared" si="3"/>
        <v>0</v>
      </c>
      <c r="R86">
        <v>0</v>
      </c>
      <c r="S86">
        <v>0</v>
      </c>
      <c r="T86">
        <v>0</v>
      </c>
      <c r="U86">
        <v>0</v>
      </c>
    </row>
  </sheetData>
  <printOptions/>
  <pageMargins left="0.75" right="0.75" top="1" bottom="1" header="0.4921259845" footer="0.4921259845"/>
  <pageSetup cellComments="atEnd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86"/>
  <sheetViews>
    <sheetView zoomScale="75" zoomScaleNormal="75" workbookViewId="0" topLeftCell="A1">
      <pane xSplit="3" ySplit="8" topLeftCell="D7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77" sqref="H77"/>
    </sheetView>
  </sheetViews>
  <sheetFormatPr defaultColWidth="11.421875" defaultRowHeight="12.75"/>
  <sheetData>
    <row r="1" ht="15.75">
      <c r="A1" s="5" t="s">
        <v>141</v>
      </c>
    </row>
    <row r="2" spans="1:5" ht="15">
      <c r="A2" s="7" t="s">
        <v>140</v>
      </c>
      <c r="D2" s="2"/>
      <c r="E2" s="2"/>
    </row>
    <row r="3" spans="1:5" ht="15">
      <c r="A3" s="7" t="s">
        <v>142</v>
      </c>
      <c r="D3" s="11"/>
      <c r="E3" s="11"/>
    </row>
    <row r="4" ht="12.75">
      <c r="A4" s="8" t="s">
        <v>143</v>
      </c>
    </row>
    <row r="5" spans="1:5" ht="15">
      <c r="A5" s="8"/>
      <c r="D5" s="2" t="s">
        <v>132</v>
      </c>
      <c r="E5" s="2"/>
    </row>
    <row r="6" spans="1:5" ht="12.75">
      <c r="A6" s="8"/>
      <c r="D6" s="11" t="s">
        <v>135</v>
      </c>
      <c r="E6" s="11"/>
    </row>
    <row r="7" spans="1:11" ht="12.75">
      <c r="A7" s="8"/>
      <c r="D7" t="str">
        <f>'standard variables'!D7</f>
        <v>total number of institutions</v>
      </c>
      <c r="E7" t="s">
        <v>150</v>
      </c>
      <c r="F7" t="s">
        <v>151</v>
      </c>
      <c r="G7" t="s">
        <v>152</v>
      </c>
      <c r="H7" t="s">
        <v>153</v>
      </c>
      <c r="I7" t="s">
        <v>154</v>
      </c>
      <c r="J7" t="s">
        <v>155</v>
      </c>
      <c r="K7" t="s">
        <v>156</v>
      </c>
    </row>
    <row r="8" spans="1:5" ht="12.75">
      <c r="A8" t="s">
        <v>33</v>
      </c>
      <c r="B8" t="s">
        <v>34</v>
      </c>
      <c r="C8" t="s">
        <v>35</v>
      </c>
      <c r="D8" t="s">
        <v>36</v>
      </c>
      <c r="E8" t="s">
        <v>37</v>
      </c>
    </row>
    <row r="9" spans="1:11" ht="12.75">
      <c r="A9">
        <v>1923</v>
      </c>
      <c r="B9" s="10" t="s">
        <v>120</v>
      </c>
      <c r="C9" s="9" t="s">
        <v>149</v>
      </c>
      <c r="D9">
        <f>'standard variables'!D9</f>
        <v>549</v>
      </c>
      <c r="E9">
        <f>'standard variables'!E9</f>
        <v>-2</v>
      </c>
      <c r="F9">
        <v>-2</v>
      </c>
      <c r="G9">
        <v>-2</v>
      </c>
      <c r="H9">
        <v>-2</v>
      </c>
      <c r="I9">
        <v>-2</v>
      </c>
      <c r="J9">
        <v>-2</v>
      </c>
      <c r="K9">
        <v>-2</v>
      </c>
    </row>
    <row r="10" spans="1:11" ht="12.75">
      <c r="A10">
        <f>A9+1</f>
        <v>1924</v>
      </c>
      <c r="B10" s="10" t="s">
        <v>120</v>
      </c>
      <c r="C10" s="9" t="s">
        <v>149</v>
      </c>
      <c r="D10">
        <f>'standard variables'!D10</f>
        <v>614</v>
      </c>
      <c r="E10">
        <f>'standard variables'!E10</f>
        <v>-2</v>
      </c>
      <c r="F10">
        <v>-2</v>
      </c>
      <c r="G10">
        <v>-2</v>
      </c>
      <c r="H10">
        <v>-2</v>
      </c>
      <c r="I10">
        <v>-2</v>
      </c>
      <c r="J10">
        <v>-2</v>
      </c>
      <c r="K10">
        <v>-2</v>
      </c>
    </row>
    <row r="11" spans="1:11" ht="12.75">
      <c r="A11">
        <f>A10+1</f>
        <v>1925</v>
      </c>
      <c r="B11" s="10" t="s">
        <v>120</v>
      </c>
      <c r="C11" s="9" t="s">
        <v>149</v>
      </c>
      <c r="D11">
        <f>'standard variables'!D11</f>
        <v>641</v>
      </c>
      <c r="E11">
        <f>'standard variables'!E11</f>
        <v>-2</v>
      </c>
      <c r="F11">
        <v>-2</v>
      </c>
      <c r="G11">
        <v>-2</v>
      </c>
      <c r="H11">
        <v>-2</v>
      </c>
      <c r="I11">
        <v>-2</v>
      </c>
      <c r="J11">
        <v>-2</v>
      </c>
      <c r="K11">
        <v>-2</v>
      </c>
    </row>
    <row r="12" spans="1:11" ht="12.75">
      <c r="A12">
        <f>A11+1</f>
        <v>1926</v>
      </c>
      <c r="B12" s="10" t="s">
        <v>120</v>
      </c>
      <c r="C12" s="9" t="s">
        <v>149</v>
      </c>
      <c r="D12">
        <f>'standard variables'!D12</f>
        <v>693</v>
      </c>
      <c r="E12">
        <f>'standard variables'!E12</f>
        <v>-2</v>
      </c>
      <c r="F12">
        <v>-2</v>
      </c>
      <c r="G12">
        <v>-2</v>
      </c>
      <c r="H12">
        <v>-2</v>
      </c>
      <c r="I12">
        <v>-2</v>
      </c>
      <c r="J12">
        <v>-2</v>
      </c>
      <c r="K12">
        <v>-2</v>
      </c>
    </row>
    <row r="13" spans="1:11" ht="12.75">
      <c r="A13">
        <f>A12+1</f>
        <v>1927</v>
      </c>
      <c r="B13" s="10" t="s">
        <v>120</v>
      </c>
      <c r="C13" s="9" t="s">
        <v>149</v>
      </c>
      <c r="D13">
        <f>'standard variables'!D13</f>
        <v>706</v>
      </c>
      <c r="E13">
        <f>'standard variables'!E13</f>
        <v>-2</v>
      </c>
      <c r="F13">
        <v>-2</v>
      </c>
      <c r="G13">
        <v>-2</v>
      </c>
      <c r="H13">
        <v>-2</v>
      </c>
      <c r="I13">
        <v>-2</v>
      </c>
      <c r="J13">
        <v>-2</v>
      </c>
      <c r="K13">
        <v>-2</v>
      </c>
    </row>
    <row r="14" spans="1:11" ht="12.75">
      <c r="A14">
        <f>A13+1</f>
        <v>1928</v>
      </c>
      <c r="B14" s="10" t="s">
        <v>120</v>
      </c>
      <c r="C14" s="9" t="s">
        <v>149</v>
      </c>
      <c r="D14">
        <f>'standard variables'!D14</f>
        <v>765</v>
      </c>
      <c r="E14">
        <f>'standard variables'!E14</f>
        <v>-2</v>
      </c>
      <c r="F14">
        <v>-2</v>
      </c>
      <c r="G14">
        <v>-2</v>
      </c>
      <c r="H14">
        <v>-2</v>
      </c>
      <c r="I14">
        <v>-2</v>
      </c>
      <c r="J14">
        <v>-2</v>
      </c>
      <c r="K14">
        <v>-2</v>
      </c>
    </row>
    <row r="15" spans="1:11" ht="12.75">
      <c r="A15">
        <f aca="true" t="shared" si="0" ref="A15:A78">A14+1</f>
        <v>1929</v>
      </c>
      <c r="B15" s="10" t="s">
        <v>120</v>
      </c>
      <c r="C15" s="9" t="s">
        <v>149</v>
      </c>
      <c r="D15">
        <f>'standard variables'!D15</f>
        <v>793</v>
      </c>
      <c r="E15">
        <f>'standard variables'!E15</f>
        <v>-2</v>
      </c>
      <c r="F15">
        <v>-2</v>
      </c>
      <c r="G15">
        <v>-2</v>
      </c>
      <c r="H15">
        <v>-2</v>
      </c>
      <c r="I15">
        <v>-2</v>
      </c>
      <c r="J15">
        <v>-2</v>
      </c>
      <c r="K15">
        <v>-2</v>
      </c>
    </row>
    <row r="16" spans="1:11" ht="12.75">
      <c r="A16">
        <f t="shared" si="0"/>
        <v>1930</v>
      </c>
      <c r="B16" s="10" t="s">
        <v>120</v>
      </c>
      <c r="C16" s="9" t="s">
        <v>149</v>
      </c>
      <c r="D16">
        <f>'standard variables'!D16</f>
        <v>838</v>
      </c>
      <c r="E16">
        <f>'standard variables'!E16</f>
        <v>-2</v>
      </c>
      <c r="F16">
        <v>-2</v>
      </c>
      <c r="G16">
        <v>-2</v>
      </c>
      <c r="H16">
        <v>-2</v>
      </c>
      <c r="I16">
        <v>-2</v>
      </c>
      <c r="J16">
        <v>-2</v>
      </c>
      <c r="K16">
        <v>-2</v>
      </c>
    </row>
    <row r="17" spans="1:11" ht="12.75">
      <c r="A17">
        <f t="shared" si="0"/>
        <v>1931</v>
      </c>
      <c r="B17" s="10" t="s">
        <v>120</v>
      </c>
      <c r="C17" s="9" t="s">
        <v>149</v>
      </c>
      <c r="D17">
        <f>'standard variables'!D17</f>
        <v>880</v>
      </c>
      <c r="E17">
        <f>'standard variables'!E17</f>
        <v>-2</v>
      </c>
      <c r="F17">
        <v>-2</v>
      </c>
      <c r="G17">
        <v>-2</v>
      </c>
      <c r="H17">
        <v>-2</v>
      </c>
      <c r="I17">
        <v>-2</v>
      </c>
      <c r="J17">
        <v>-2</v>
      </c>
      <c r="K17">
        <v>-2</v>
      </c>
    </row>
    <row r="18" spans="1:11" ht="12.75">
      <c r="A18">
        <f t="shared" si="0"/>
        <v>1932</v>
      </c>
      <c r="B18" s="10" t="s">
        <v>120</v>
      </c>
      <c r="C18" s="9" t="s">
        <v>149</v>
      </c>
      <c r="D18">
        <f>'standard variables'!D18</f>
        <v>874</v>
      </c>
      <c r="E18">
        <f>'standard variables'!E18</f>
        <v>-2</v>
      </c>
      <c r="F18">
        <v>-2</v>
      </c>
      <c r="G18">
        <v>-2</v>
      </c>
      <c r="H18">
        <v>-2</v>
      </c>
      <c r="I18">
        <v>-2</v>
      </c>
      <c r="J18">
        <v>-2</v>
      </c>
      <c r="K18">
        <v>-2</v>
      </c>
    </row>
    <row r="19" spans="1:11" ht="12.75">
      <c r="A19">
        <f t="shared" si="0"/>
        <v>1933</v>
      </c>
      <c r="B19" s="10" t="s">
        <v>120</v>
      </c>
      <c r="C19" s="9" t="s">
        <v>149</v>
      </c>
      <c r="D19">
        <f>'standard variables'!D19</f>
        <v>893</v>
      </c>
      <c r="E19">
        <f>'standard variables'!E19</f>
        <v>-2</v>
      </c>
      <c r="F19">
        <v>-2</v>
      </c>
      <c r="G19">
        <v>-2</v>
      </c>
      <c r="H19">
        <v>-2</v>
      </c>
      <c r="I19">
        <v>-2</v>
      </c>
      <c r="J19">
        <v>-2</v>
      </c>
      <c r="K19">
        <v>-2</v>
      </c>
    </row>
    <row r="20" spans="1:11" ht="12.75">
      <c r="A20">
        <f t="shared" si="0"/>
        <v>1934</v>
      </c>
      <c r="B20" s="10" t="s">
        <v>120</v>
      </c>
      <c r="C20" s="9" t="s">
        <v>149</v>
      </c>
      <c r="D20">
        <f>'standard variables'!D20</f>
        <v>872</v>
      </c>
      <c r="E20">
        <f>'standard variables'!E20</f>
        <v>-2</v>
      </c>
      <c r="F20">
        <v>-2</v>
      </c>
      <c r="G20">
        <v>-2</v>
      </c>
      <c r="H20">
        <v>-2</v>
      </c>
      <c r="I20">
        <v>-2</v>
      </c>
      <c r="J20">
        <v>-2</v>
      </c>
      <c r="K20">
        <v>-2</v>
      </c>
    </row>
    <row r="21" spans="1:11" ht="12.75">
      <c r="A21">
        <f t="shared" si="0"/>
        <v>1935</v>
      </c>
      <c r="B21" s="10" t="s">
        <v>120</v>
      </c>
      <c r="C21" s="9" t="s">
        <v>149</v>
      </c>
      <c r="D21">
        <f>'standard variables'!D21</f>
        <v>889</v>
      </c>
      <c r="E21">
        <f>'standard variables'!E21</f>
        <v>-2</v>
      </c>
      <c r="F21">
        <v>-2</v>
      </c>
      <c r="G21">
        <v>-2</v>
      </c>
      <c r="H21">
        <v>-2</v>
      </c>
      <c r="I21">
        <v>-2</v>
      </c>
      <c r="J21">
        <v>-2</v>
      </c>
      <c r="K21">
        <v>-2</v>
      </c>
    </row>
    <row r="22" spans="1:11" ht="12.75">
      <c r="A22">
        <f t="shared" si="0"/>
        <v>1936</v>
      </c>
      <c r="B22" s="10" t="s">
        <v>120</v>
      </c>
      <c r="C22" s="9" t="s">
        <v>149</v>
      </c>
      <c r="D22">
        <f>'standard variables'!D22</f>
        <v>928</v>
      </c>
      <c r="E22">
        <f>'standard variables'!E22</f>
        <v>-2</v>
      </c>
      <c r="F22">
        <v>-2</v>
      </c>
      <c r="G22">
        <v>-2</v>
      </c>
      <c r="H22">
        <v>-2</v>
      </c>
      <c r="I22">
        <v>-2</v>
      </c>
      <c r="J22">
        <v>-2</v>
      </c>
      <c r="K22">
        <v>-2</v>
      </c>
    </row>
    <row r="23" spans="1:11" ht="12.75">
      <c r="A23">
        <f t="shared" si="0"/>
        <v>1937</v>
      </c>
      <c r="B23" s="10" t="s">
        <v>120</v>
      </c>
      <c r="C23" s="9" t="s">
        <v>149</v>
      </c>
      <c r="D23">
        <f>'standard variables'!D23</f>
        <v>926</v>
      </c>
      <c r="E23">
        <f>'standard variables'!E23</f>
        <v>-2</v>
      </c>
      <c r="F23">
        <v>-2</v>
      </c>
      <c r="G23">
        <v>-2</v>
      </c>
      <c r="H23">
        <v>-2</v>
      </c>
      <c r="I23">
        <v>-2</v>
      </c>
      <c r="J23">
        <v>-2</v>
      </c>
      <c r="K23">
        <v>-2</v>
      </c>
    </row>
    <row r="24" spans="1:11" ht="12.75">
      <c r="A24">
        <f t="shared" si="0"/>
        <v>1938</v>
      </c>
      <c r="B24" s="10" t="s">
        <v>120</v>
      </c>
      <c r="C24" s="9" t="s">
        <v>149</v>
      </c>
      <c r="D24">
        <f>'standard variables'!D24</f>
        <v>-2</v>
      </c>
      <c r="E24">
        <f>'standard variables'!E24</f>
        <v>-2</v>
      </c>
      <c r="F24">
        <v>-2</v>
      </c>
      <c r="G24">
        <v>-2</v>
      </c>
      <c r="H24">
        <v>-2</v>
      </c>
      <c r="I24">
        <v>-2</v>
      </c>
      <c r="J24">
        <v>-2</v>
      </c>
      <c r="K24">
        <v>-2</v>
      </c>
    </row>
    <row r="25" spans="1:11" ht="12.75">
      <c r="A25">
        <f t="shared" si="0"/>
        <v>1939</v>
      </c>
      <c r="B25" s="10" t="s">
        <v>120</v>
      </c>
      <c r="C25" s="9" t="s">
        <v>149</v>
      </c>
      <c r="D25">
        <f>'standard variables'!D25</f>
        <v>-2</v>
      </c>
      <c r="E25">
        <f>'standard variables'!E25</f>
        <v>-2</v>
      </c>
      <c r="F25">
        <v>-2</v>
      </c>
      <c r="G25">
        <v>-2</v>
      </c>
      <c r="H25">
        <v>-2</v>
      </c>
      <c r="I25">
        <v>-2</v>
      </c>
      <c r="J25">
        <v>-2</v>
      </c>
      <c r="K25">
        <v>-2</v>
      </c>
    </row>
    <row r="26" spans="1:11" ht="12.75">
      <c r="A26">
        <f t="shared" si="0"/>
        <v>1940</v>
      </c>
      <c r="B26" s="10" t="s">
        <v>120</v>
      </c>
      <c r="C26" s="9" t="s">
        <v>149</v>
      </c>
      <c r="D26">
        <f>'standard variables'!D26</f>
        <v>-2</v>
      </c>
      <c r="E26">
        <f>'standard variables'!E26</f>
        <v>-2</v>
      </c>
      <c r="F26">
        <v>-2</v>
      </c>
      <c r="G26">
        <v>-2</v>
      </c>
      <c r="H26">
        <v>-2</v>
      </c>
      <c r="I26">
        <v>-2</v>
      </c>
      <c r="J26">
        <v>-2</v>
      </c>
      <c r="K26">
        <v>-2</v>
      </c>
    </row>
    <row r="27" spans="1:11" ht="12.75">
      <c r="A27">
        <f t="shared" si="0"/>
        <v>1941</v>
      </c>
      <c r="B27" s="10" t="s">
        <v>120</v>
      </c>
      <c r="C27" s="9" t="s">
        <v>149</v>
      </c>
      <c r="D27">
        <f>'standard variables'!D27</f>
        <v>-2</v>
      </c>
      <c r="E27">
        <f>'standard variables'!E27</f>
        <v>-2</v>
      </c>
      <c r="F27">
        <v>-2</v>
      </c>
      <c r="G27">
        <v>-2</v>
      </c>
      <c r="H27">
        <v>-2</v>
      </c>
      <c r="I27">
        <v>-2</v>
      </c>
      <c r="J27">
        <v>-2</v>
      </c>
      <c r="K27">
        <v>-2</v>
      </c>
    </row>
    <row r="28" spans="1:11" ht="12.75">
      <c r="A28">
        <f t="shared" si="0"/>
        <v>1942</v>
      </c>
      <c r="B28" s="10" t="s">
        <v>120</v>
      </c>
      <c r="C28" s="9" t="s">
        <v>149</v>
      </c>
      <c r="D28">
        <f>'standard variables'!D28</f>
        <v>-2</v>
      </c>
      <c r="E28">
        <f>'standard variables'!E28</f>
        <v>-2</v>
      </c>
      <c r="F28">
        <v>-2</v>
      </c>
      <c r="G28">
        <v>-2</v>
      </c>
      <c r="H28">
        <v>-2</v>
      </c>
      <c r="I28">
        <v>-2</v>
      </c>
      <c r="J28">
        <v>-2</v>
      </c>
      <c r="K28">
        <v>-2</v>
      </c>
    </row>
    <row r="29" spans="1:11" ht="12.75">
      <c r="A29">
        <f t="shared" si="0"/>
        <v>1943</v>
      </c>
      <c r="B29" s="10" t="s">
        <v>120</v>
      </c>
      <c r="C29" s="9" t="s">
        <v>149</v>
      </c>
      <c r="D29">
        <f>'standard variables'!D29</f>
        <v>-2</v>
      </c>
      <c r="E29">
        <f>'standard variables'!E29</f>
        <v>-2</v>
      </c>
      <c r="F29">
        <v>-2</v>
      </c>
      <c r="G29">
        <v>-2</v>
      </c>
      <c r="H29">
        <v>-2</v>
      </c>
      <c r="I29">
        <v>-2</v>
      </c>
      <c r="J29">
        <v>-2</v>
      </c>
      <c r="K29">
        <v>-2</v>
      </c>
    </row>
    <row r="30" spans="1:11" ht="12.75">
      <c r="A30">
        <f t="shared" si="0"/>
        <v>1944</v>
      </c>
      <c r="B30" s="10" t="s">
        <v>120</v>
      </c>
      <c r="C30" s="9" t="s">
        <v>149</v>
      </c>
      <c r="D30">
        <f>'standard variables'!D30</f>
        <v>-2</v>
      </c>
      <c r="E30">
        <f>'standard variables'!E30</f>
        <v>-2</v>
      </c>
      <c r="F30">
        <v>-2</v>
      </c>
      <c r="G30">
        <v>-2</v>
      </c>
      <c r="H30">
        <v>-2</v>
      </c>
      <c r="I30">
        <v>-2</v>
      </c>
      <c r="J30">
        <v>-2</v>
      </c>
      <c r="K30">
        <v>-2</v>
      </c>
    </row>
    <row r="31" spans="1:11" ht="12.75">
      <c r="A31">
        <f t="shared" si="0"/>
        <v>1945</v>
      </c>
      <c r="B31" s="10" t="s">
        <v>120</v>
      </c>
      <c r="C31" s="9" t="s">
        <v>149</v>
      </c>
      <c r="D31">
        <f>'standard variables'!D31</f>
        <v>558</v>
      </c>
      <c r="E31">
        <f>'standard variables'!E31</f>
        <v>-2</v>
      </c>
      <c r="F31">
        <v>-2</v>
      </c>
      <c r="G31">
        <v>-2</v>
      </c>
      <c r="H31">
        <v>-2</v>
      </c>
      <c r="I31">
        <v>-2</v>
      </c>
      <c r="J31">
        <v>-2</v>
      </c>
      <c r="K31">
        <v>-2</v>
      </c>
    </row>
    <row r="32" spans="1:11" ht="12.75">
      <c r="A32">
        <f t="shared" si="0"/>
        <v>1946</v>
      </c>
      <c r="B32" s="10" t="s">
        <v>120</v>
      </c>
      <c r="C32" s="9" t="s">
        <v>149</v>
      </c>
      <c r="D32">
        <f>'standard variables'!D32</f>
        <v>814</v>
      </c>
      <c r="E32">
        <f>'standard variables'!E32</f>
        <v>-2</v>
      </c>
      <c r="F32">
        <v>-2</v>
      </c>
      <c r="G32">
        <v>-2</v>
      </c>
      <c r="H32">
        <v>-2</v>
      </c>
      <c r="I32">
        <v>-2</v>
      </c>
      <c r="J32">
        <v>-2</v>
      </c>
      <c r="K32">
        <v>-2</v>
      </c>
    </row>
    <row r="33" spans="1:11" ht="12.75">
      <c r="A33">
        <f t="shared" si="0"/>
        <v>1947</v>
      </c>
      <c r="B33" s="10" t="s">
        <v>120</v>
      </c>
      <c r="C33" s="9" t="s">
        <v>149</v>
      </c>
      <c r="D33">
        <f>'standard variables'!D33</f>
        <v>894</v>
      </c>
      <c r="E33">
        <f>'standard variables'!E33</f>
        <v>-2</v>
      </c>
      <c r="F33">
        <v>-2</v>
      </c>
      <c r="G33">
        <v>-2</v>
      </c>
      <c r="H33">
        <v>-2</v>
      </c>
      <c r="I33">
        <v>-2</v>
      </c>
      <c r="J33">
        <v>-2</v>
      </c>
      <c r="K33">
        <v>-2</v>
      </c>
    </row>
    <row r="34" spans="1:11" ht="12.75">
      <c r="A34">
        <f t="shared" si="0"/>
        <v>1948</v>
      </c>
      <c r="B34" s="10" t="s">
        <v>120</v>
      </c>
      <c r="C34" s="9" t="s">
        <v>149</v>
      </c>
      <c r="D34">
        <f>'standard variables'!D34</f>
        <v>1035</v>
      </c>
      <c r="E34">
        <f>'standard variables'!E34</f>
        <v>-2</v>
      </c>
      <c r="F34">
        <v>-2</v>
      </c>
      <c r="G34">
        <v>-2</v>
      </c>
      <c r="H34">
        <v>-2</v>
      </c>
      <c r="I34">
        <v>-2</v>
      </c>
      <c r="J34">
        <v>-2</v>
      </c>
      <c r="K34">
        <v>-2</v>
      </c>
    </row>
    <row r="35" spans="1:11" ht="12.75">
      <c r="A35">
        <f t="shared" si="0"/>
        <v>1949</v>
      </c>
      <c r="B35" s="10" t="s">
        <v>120</v>
      </c>
      <c r="C35" s="9" t="s">
        <v>149</v>
      </c>
      <c r="D35">
        <f>'standard variables'!D35</f>
        <v>1054</v>
      </c>
      <c r="E35">
        <f>'standard variables'!E35</f>
        <v>-2</v>
      </c>
      <c r="F35">
        <v>-2</v>
      </c>
      <c r="G35">
        <v>-2</v>
      </c>
      <c r="H35">
        <v>-2</v>
      </c>
      <c r="I35">
        <v>-2</v>
      </c>
      <c r="J35">
        <v>-2</v>
      </c>
      <c r="K35">
        <v>-2</v>
      </c>
    </row>
    <row r="36" spans="1:11" ht="12.75">
      <c r="A36">
        <f t="shared" si="0"/>
        <v>1950</v>
      </c>
      <c r="B36" s="10" t="s">
        <v>120</v>
      </c>
      <c r="C36" s="9" t="s">
        <v>149</v>
      </c>
      <c r="D36">
        <f>'standard variables'!D36</f>
        <v>1111</v>
      </c>
      <c r="E36">
        <f>'standard variables'!E36</f>
        <v>-2</v>
      </c>
      <c r="F36">
        <v>-2</v>
      </c>
      <c r="G36">
        <v>-2</v>
      </c>
      <c r="H36">
        <v>-2</v>
      </c>
      <c r="I36">
        <v>-2</v>
      </c>
      <c r="J36">
        <v>-2</v>
      </c>
      <c r="K36">
        <v>-2</v>
      </c>
    </row>
    <row r="37" spans="1:11" ht="12.75">
      <c r="A37">
        <f t="shared" si="0"/>
        <v>1951</v>
      </c>
      <c r="B37" s="10" t="s">
        <v>120</v>
      </c>
      <c r="C37" s="9" t="s">
        <v>149</v>
      </c>
      <c r="D37">
        <f>'standard variables'!D37</f>
        <v>1117</v>
      </c>
      <c r="E37">
        <f>'standard variables'!E37</f>
        <v>-2</v>
      </c>
      <c r="F37">
        <v>-2</v>
      </c>
      <c r="G37">
        <v>-2</v>
      </c>
      <c r="H37">
        <v>-2</v>
      </c>
      <c r="I37">
        <v>-2</v>
      </c>
      <c r="J37">
        <v>-2</v>
      </c>
      <c r="K37">
        <v>-2</v>
      </c>
    </row>
    <row r="38" spans="1:11" ht="12.75">
      <c r="A38">
        <f t="shared" si="0"/>
        <v>1952</v>
      </c>
      <c r="B38" s="10" t="s">
        <v>120</v>
      </c>
      <c r="C38" s="9" t="s">
        <v>149</v>
      </c>
      <c r="D38">
        <f>'standard variables'!D38</f>
        <v>1167</v>
      </c>
      <c r="E38">
        <f>'standard variables'!E38</f>
        <v>-2</v>
      </c>
      <c r="F38">
        <v>-2</v>
      </c>
      <c r="G38">
        <v>-2</v>
      </c>
      <c r="H38">
        <v>-2</v>
      </c>
      <c r="I38">
        <v>-2</v>
      </c>
      <c r="J38">
        <v>-2</v>
      </c>
      <c r="K38">
        <v>-2</v>
      </c>
    </row>
    <row r="39" spans="1:11" ht="12.75">
      <c r="A39">
        <f t="shared" si="0"/>
        <v>1953</v>
      </c>
      <c r="B39" s="10" t="s">
        <v>120</v>
      </c>
      <c r="C39" s="9" t="s">
        <v>149</v>
      </c>
      <c r="D39">
        <f>'standard variables'!D39</f>
        <v>1202</v>
      </c>
      <c r="E39">
        <f>'standard variables'!E39</f>
        <v>-2</v>
      </c>
      <c r="F39">
        <v>-2</v>
      </c>
      <c r="G39">
        <v>-2</v>
      </c>
      <c r="H39">
        <v>-2</v>
      </c>
      <c r="I39">
        <v>-2</v>
      </c>
      <c r="J39">
        <v>-2</v>
      </c>
      <c r="K39">
        <v>-2</v>
      </c>
    </row>
    <row r="40" spans="1:11" ht="12.75">
      <c r="A40">
        <f t="shared" si="0"/>
        <v>1954</v>
      </c>
      <c r="B40" s="10" t="s">
        <v>120</v>
      </c>
      <c r="C40" s="9" t="s">
        <v>149</v>
      </c>
      <c r="D40">
        <f>'standard variables'!D40</f>
        <v>1247</v>
      </c>
      <c r="E40">
        <f>'standard variables'!E40</f>
        <v>-2</v>
      </c>
      <c r="F40">
        <v>-2</v>
      </c>
      <c r="G40">
        <v>-2</v>
      </c>
      <c r="H40">
        <v>-2</v>
      </c>
      <c r="I40">
        <v>-2</v>
      </c>
      <c r="J40">
        <v>-2</v>
      </c>
      <c r="K40">
        <v>-2</v>
      </c>
    </row>
    <row r="41" spans="1:11" ht="12.75">
      <c r="A41">
        <f t="shared" si="0"/>
        <v>1955</v>
      </c>
      <c r="B41" s="10" t="s">
        <v>120</v>
      </c>
      <c r="C41" s="9" t="s">
        <v>149</v>
      </c>
      <c r="D41">
        <f>'standard variables'!D41</f>
        <v>1289</v>
      </c>
      <c r="E41">
        <f>'standard variables'!E41</f>
        <v>-2</v>
      </c>
      <c r="F41">
        <v>-2</v>
      </c>
      <c r="G41">
        <v>-2</v>
      </c>
      <c r="H41">
        <v>-2</v>
      </c>
      <c r="I41">
        <v>-2</v>
      </c>
      <c r="J41">
        <v>-2</v>
      </c>
      <c r="K41">
        <v>-2</v>
      </c>
    </row>
    <row r="42" spans="1:11" ht="12.75">
      <c r="A42">
        <f t="shared" si="0"/>
        <v>1956</v>
      </c>
      <c r="B42" s="10" t="s">
        <v>120</v>
      </c>
      <c r="C42" s="9" t="s">
        <v>149</v>
      </c>
      <c r="D42">
        <f>'standard variables'!D42</f>
        <v>1335</v>
      </c>
      <c r="E42">
        <f>'standard variables'!E42</f>
        <v>-2</v>
      </c>
      <c r="F42">
        <v>-2</v>
      </c>
      <c r="G42">
        <v>-2</v>
      </c>
      <c r="H42">
        <v>-2</v>
      </c>
      <c r="I42">
        <v>-2</v>
      </c>
      <c r="J42">
        <v>-2</v>
      </c>
      <c r="K42">
        <v>-2</v>
      </c>
    </row>
    <row r="43" spans="1:11" ht="12.75">
      <c r="A43">
        <f t="shared" si="0"/>
        <v>1957</v>
      </c>
      <c r="B43" s="10" t="s">
        <v>120</v>
      </c>
      <c r="C43" s="9" t="s">
        <v>149</v>
      </c>
      <c r="D43">
        <f>'standard variables'!D43</f>
        <v>1372</v>
      </c>
      <c r="E43">
        <f>'standard variables'!E43</f>
        <v>-2</v>
      </c>
      <c r="F43">
        <v>-2</v>
      </c>
      <c r="G43">
        <v>-2</v>
      </c>
      <c r="H43">
        <v>-2</v>
      </c>
      <c r="I43">
        <v>-2</v>
      </c>
      <c r="J43">
        <v>-2</v>
      </c>
      <c r="K43">
        <v>-2</v>
      </c>
    </row>
    <row r="44" spans="1:11" ht="12.75">
      <c r="A44">
        <f t="shared" si="0"/>
        <v>1958</v>
      </c>
      <c r="B44" s="10" t="s">
        <v>120</v>
      </c>
      <c r="C44" s="9" t="s">
        <v>149</v>
      </c>
      <c r="D44">
        <f>'standard variables'!D44</f>
        <v>1419</v>
      </c>
      <c r="E44">
        <f>'standard variables'!E44</f>
        <v>-2</v>
      </c>
      <c r="F44">
        <v>-2</v>
      </c>
      <c r="G44">
        <v>-2</v>
      </c>
      <c r="H44">
        <v>-2</v>
      </c>
      <c r="I44">
        <v>-2</v>
      </c>
      <c r="J44">
        <v>-2</v>
      </c>
      <c r="K44">
        <v>-2</v>
      </c>
    </row>
    <row r="45" spans="1:11" ht="12.75">
      <c r="A45">
        <f t="shared" si="0"/>
        <v>1959</v>
      </c>
      <c r="B45" s="10" t="s">
        <v>120</v>
      </c>
      <c r="C45" s="9" t="s">
        <v>149</v>
      </c>
      <c r="D45">
        <f>'standard variables'!D45</f>
        <v>1444</v>
      </c>
      <c r="E45">
        <f>'standard variables'!E45</f>
        <v>-2</v>
      </c>
      <c r="F45">
        <v>-2</v>
      </c>
      <c r="G45">
        <v>-2</v>
      </c>
      <c r="H45">
        <v>-2</v>
      </c>
      <c r="I45">
        <v>-2</v>
      </c>
      <c r="J45">
        <v>-2</v>
      </c>
      <c r="K45">
        <v>-2</v>
      </c>
    </row>
    <row r="46" spans="1:11" ht="12.75">
      <c r="A46">
        <f t="shared" si="0"/>
        <v>1960</v>
      </c>
      <c r="B46" s="10" t="s">
        <v>120</v>
      </c>
      <c r="C46" s="9" t="s">
        <v>149</v>
      </c>
      <c r="D46">
        <f>'standard variables'!D46</f>
        <v>1487</v>
      </c>
      <c r="E46">
        <f>'standard variables'!E46</f>
        <v>-2</v>
      </c>
      <c r="F46">
        <v>-2</v>
      </c>
      <c r="G46">
        <v>-2</v>
      </c>
      <c r="H46">
        <v>-2</v>
      </c>
      <c r="I46">
        <v>-2</v>
      </c>
      <c r="J46">
        <v>-2</v>
      </c>
      <c r="K46">
        <v>-2</v>
      </c>
    </row>
    <row r="47" spans="1:11" ht="12.75">
      <c r="A47">
        <f t="shared" si="0"/>
        <v>1961</v>
      </c>
      <c r="B47" s="10" t="s">
        <v>120</v>
      </c>
      <c r="C47" s="9" t="s">
        <v>149</v>
      </c>
      <c r="D47">
        <f>'standard variables'!D47</f>
        <v>1516</v>
      </c>
      <c r="E47">
        <f>'standard variables'!E47</f>
        <v>-2</v>
      </c>
      <c r="F47">
        <v>-2</v>
      </c>
      <c r="G47">
        <v>-2</v>
      </c>
      <c r="H47">
        <v>-2</v>
      </c>
      <c r="I47">
        <v>-2</v>
      </c>
      <c r="J47">
        <v>-2</v>
      </c>
      <c r="K47">
        <v>-2</v>
      </c>
    </row>
    <row r="48" spans="1:11" ht="12.75">
      <c r="A48">
        <f t="shared" si="0"/>
        <v>1962</v>
      </c>
      <c r="B48" s="10" t="s">
        <v>120</v>
      </c>
      <c r="C48" s="9" t="s">
        <v>149</v>
      </c>
      <c r="D48">
        <f>'standard variables'!D48</f>
        <v>1543</v>
      </c>
      <c r="E48">
        <f>'standard variables'!E48</f>
        <v>-2</v>
      </c>
      <c r="F48">
        <v>-2</v>
      </c>
      <c r="G48">
        <v>-2</v>
      </c>
      <c r="H48">
        <v>-2</v>
      </c>
      <c r="I48">
        <v>-2</v>
      </c>
      <c r="J48">
        <v>-2</v>
      </c>
      <c r="K48">
        <v>-2</v>
      </c>
    </row>
    <row r="49" spans="1:11" ht="12.75">
      <c r="A49">
        <f t="shared" si="0"/>
        <v>1963</v>
      </c>
      <c r="B49" s="10" t="s">
        <v>120</v>
      </c>
      <c r="C49" s="9" t="s">
        <v>149</v>
      </c>
      <c r="D49">
        <f>'standard variables'!D49</f>
        <v>-2</v>
      </c>
      <c r="E49">
        <f>'standard variables'!E49</f>
        <v>-2</v>
      </c>
      <c r="F49">
        <v>-2</v>
      </c>
      <c r="G49">
        <v>-2</v>
      </c>
      <c r="H49">
        <v>-2</v>
      </c>
      <c r="I49">
        <v>-2</v>
      </c>
      <c r="J49">
        <v>-2</v>
      </c>
      <c r="K49">
        <v>-2</v>
      </c>
    </row>
    <row r="50" spans="1:11" ht="12.75">
      <c r="A50">
        <f t="shared" si="0"/>
        <v>1964</v>
      </c>
      <c r="B50" s="10" t="s">
        <v>120</v>
      </c>
      <c r="C50" s="9" t="s">
        <v>149</v>
      </c>
      <c r="D50">
        <f>'standard variables'!D50</f>
        <v>-2</v>
      </c>
      <c r="E50">
        <f>'standard variables'!E50</f>
        <v>-2</v>
      </c>
      <c r="F50">
        <v>-2</v>
      </c>
      <c r="G50">
        <v>-2</v>
      </c>
      <c r="H50">
        <v>-2</v>
      </c>
      <c r="I50">
        <v>-2</v>
      </c>
      <c r="J50">
        <v>-2</v>
      </c>
      <c r="K50">
        <v>-2</v>
      </c>
    </row>
    <row r="51" spans="1:11" ht="12.75">
      <c r="A51">
        <f t="shared" si="0"/>
        <v>1965</v>
      </c>
      <c r="B51" s="10" t="s">
        <v>120</v>
      </c>
      <c r="C51" s="9" t="s">
        <v>149</v>
      </c>
      <c r="D51">
        <f>'standard variables'!D51</f>
        <v>-2</v>
      </c>
      <c r="E51">
        <f>'standard variables'!E51</f>
        <v>-2</v>
      </c>
      <c r="F51">
        <v>-2</v>
      </c>
      <c r="G51">
        <v>-2</v>
      </c>
      <c r="H51">
        <v>-2</v>
      </c>
      <c r="I51">
        <v>-2</v>
      </c>
      <c r="J51">
        <v>-2</v>
      </c>
      <c r="K51">
        <v>-2</v>
      </c>
    </row>
    <row r="52" spans="1:11" ht="12.75">
      <c r="A52">
        <f t="shared" si="0"/>
        <v>1966</v>
      </c>
      <c r="B52" s="10" t="s">
        <v>120</v>
      </c>
      <c r="C52" s="9" t="s">
        <v>149</v>
      </c>
      <c r="D52">
        <f>'standard variables'!D52</f>
        <v>-2</v>
      </c>
      <c r="E52">
        <f>'standard variables'!E52</f>
        <v>-2</v>
      </c>
      <c r="F52">
        <v>-2</v>
      </c>
      <c r="G52">
        <v>-2</v>
      </c>
      <c r="H52">
        <v>-2</v>
      </c>
      <c r="I52">
        <v>-2</v>
      </c>
      <c r="J52">
        <v>-2</v>
      </c>
      <c r="K52">
        <v>-2</v>
      </c>
    </row>
    <row r="53" spans="1:11" ht="12.75">
      <c r="A53">
        <f t="shared" si="0"/>
        <v>1967</v>
      </c>
      <c r="B53" s="10" t="s">
        <v>120</v>
      </c>
      <c r="C53" s="9" t="s">
        <v>149</v>
      </c>
      <c r="D53">
        <f>'standard variables'!D53</f>
        <v>1875</v>
      </c>
      <c r="E53">
        <f>'standard variables'!E53</f>
        <v>1122</v>
      </c>
      <c r="F53">
        <v>527</v>
      </c>
      <c r="G53">
        <v>22</v>
      </c>
      <c r="H53">
        <v>48</v>
      </c>
      <c r="I53">
        <v>141</v>
      </c>
      <c r="J53">
        <v>8</v>
      </c>
      <c r="K53">
        <v>7</v>
      </c>
    </row>
    <row r="54" spans="1:11" ht="12.75">
      <c r="A54">
        <f t="shared" si="0"/>
        <v>1968</v>
      </c>
      <c r="B54" s="10" t="s">
        <v>120</v>
      </c>
      <c r="C54" s="9" t="s">
        <v>149</v>
      </c>
      <c r="D54">
        <f>'standard variables'!D54</f>
        <v>1921</v>
      </c>
      <c r="E54">
        <f>'standard variables'!E54</f>
        <v>1155</v>
      </c>
      <c r="F54">
        <v>530</v>
      </c>
      <c r="G54">
        <v>23</v>
      </c>
      <c r="H54">
        <v>46</v>
      </c>
      <c r="I54">
        <v>104</v>
      </c>
      <c r="J54">
        <v>56</v>
      </c>
      <c r="K54">
        <v>7</v>
      </c>
    </row>
    <row r="55" spans="1:11" ht="12.75">
      <c r="A55">
        <f t="shared" si="0"/>
        <v>1969</v>
      </c>
      <c r="B55" s="10" t="s">
        <v>120</v>
      </c>
      <c r="C55" s="9" t="s">
        <v>149</v>
      </c>
      <c r="D55">
        <f>'standard variables'!D55</f>
        <v>1962</v>
      </c>
      <c r="E55">
        <f>'standard variables'!E55</f>
        <v>1194</v>
      </c>
      <c r="F55">
        <v>531</v>
      </c>
      <c r="G55">
        <v>24</v>
      </c>
      <c r="H55">
        <v>44</v>
      </c>
      <c r="I55">
        <v>101</v>
      </c>
      <c r="J55">
        <v>61</v>
      </c>
      <c r="K55">
        <v>7</v>
      </c>
    </row>
    <row r="56" spans="1:11" ht="12.75">
      <c r="A56">
        <f t="shared" si="0"/>
        <v>1970</v>
      </c>
      <c r="B56" s="10" t="s">
        <v>120</v>
      </c>
      <c r="C56" s="9" t="s">
        <v>149</v>
      </c>
      <c r="D56">
        <f>'standard variables'!D56</f>
        <v>2079</v>
      </c>
      <c r="E56">
        <f>'standard variables'!E56</f>
        <v>1266</v>
      </c>
      <c r="F56">
        <v>546</v>
      </c>
      <c r="G56">
        <v>25</v>
      </c>
      <c r="H56">
        <v>40</v>
      </c>
      <c r="I56">
        <v>105</v>
      </c>
      <c r="J56">
        <v>90</v>
      </c>
      <c r="K56">
        <v>7</v>
      </c>
    </row>
    <row r="57" spans="1:11" ht="12.75">
      <c r="A57">
        <f t="shared" si="0"/>
        <v>1971</v>
      </c>
      <c r="B57" s="10" t="s">
        <v>120</v>
      </c>
      <c r="C57" s="9" t="s">
        <v>149</v>
      </c>
      <c r="D57">
        <f>'standard variables'!D57</f>
        <v>2194</v>
      </c>
      <c r="E57">
        <f>'standard variables'!E57</f>
        <v>1330</v>
      </c>
      <c r="F57">
        <v>571</v>
      </c>
      <c r="G57">
        <v>25</v>
      </c>
      <c r="H57">
        <v>39</v>
      </c>
      <c r="I57">
        <v>113</v>
      </c>
      <c r="J57">
        <v>106</v>
      </c>
      <c r="K57">
        <v>10</v>
      </c>
    </row>
    <row r="58" spans="1:11" ht="12.75">
      <c r="A58">
        <f t="shared" si="0"/>
        <v>1972</v>
      </c>
      <c r="B58" s="10" t="s">
        <v>120</v>
      </c>
      <c r="C58" s="9" t="s">
        <v>149</v>
      </c>
      <c r="D58">
        <f>'standard variables'!D58</f>
        <v>2236</v>
      </c>
      <c r="E58">
        <f>'standard variables'!E58</f>
        <v>1399</v>
      </c>
      <c r="F58">
        <v>566</v>
      </c>
      <c r="G58">
        <v>24</v>
      </c>
      <c r="H58">
        <v>42</v>
      </c>
      <c r="I58">
        <v>93</v>
      </c>
      <c r="J58">
        <v>107</v>
      </c>
      <c r="K58">
        <v>5</v>
      </c>
    </row>
    <row r="59" spans="1:11" ht="12.75">
      <c r="A59">
        <f t="shared" si="0"/>
        <v>1973</v>
      </c>
      <c r="B59" s="10" t="s">
        <v>120</v>
      </c>
      <c r="C59" s="9" t="s">
        <v>149</v>
      </c>
      <c r="D59">
        <f>'standard variables'!D59</f>
        <v>2421</v>
      </c>
      <c r="E59">
        <f>'standard variables'!E59</f>
        <v>1509</v>
      </c>
      <c r="F59">
        <v>592</v>
      </c>
      <c r="G59">
        <v>28</v>
      </c>
      <c r="H59">
        <v>46</v>
      </c>
      <c r="I59">
        <v>120</v>
      </c>
      <c r="J59">
        <v>124</v>
      </c>
      <c r="K59">
        <v>2</v>
      </c>
    </row>
    <row r="60" spans="1:11" ht="12.75">
      <c r="A60">
        <f t="shared" si="0"/>
        <v>1974</v>
      </c>
      <c r="B60" s="10" t="s">
        <v>120</v>
      </c>
      <c r="C60" s="9" t="s">
        <v>149</v>
      </c>
      <c r="D60">
        <f>'standard variables'!D60</f>
        <v>2647</v>
      </c>
      <c r="E60">
        <f>'standard variables'!E60</f>
        <v>1706</v>
      </c>
      <c r="F60">
        <v>592</v>
      </c>
      <c r="G60">
        <v>28</v>
      </c>
      <c r="H60">
        <v>54</v>
      </c>
      <c r="I60">
        <v>133</v>
      </c>
      <c r="J60">
        <v>132</v>
      </c>
      <c r="K60">
        <v>2</v>
      </c>
    </row>
    <row r="61" spans="1:11" ht="12.75">
      <c r="A61">
        <f t="shared" si="0"/>
        <v>1975</v>
      </c>
      <c r="B61" s="10" t="s">
        <v>120</v>
      </c>
      <c r="C61" s="9" t="s">
        <v>149</v>
      </c>
      <c r="D61">
        <f>'standard variables'!D61</f>
        <v>2882</v>
      </c>
      <c r="E61">
        <f>'standard variables'!E61</f>
        <v>1903</v>
      </c>
      <c r="F61">
        <v>614</v>
      </c>
      <c r="G61">
        <v>28</v>
      </c>
      <c r="H61">
        <v>48</v>
      </c>
      <c r="I61">
        <v>153</v>
      </c>
      <c r="J61">
        <v>128</v>
      </c>
      <c r="K61">
        <v>8</v>
      </c>
    </row>
    <row r="62" spans="1:11" ht="12.75">
      <c r="A62">
        <f t="shared" si="0"/>
        <v>1976</v>
      </c>
      <c r="B62" s="10" t="s">
        <v>120</v>
      </c>
      <c r="C62" s="9" t="s">
        <v>149</v>
      </c>
      <c r="D62">
        <f>'standard variables'!D62</f>
        <v>3034</v>
      </c>
      <c r="E62">
        <f>'standard variables'!E62</f>
        <v>2039</v>
      </c>
      <c r="F62">
        <v>625</v>
      </c>
      <c r="G62">
        <v>27</v>
      </c>
      <c r="H62">
        <v>50</v>
      </c>
      <c r="I62">
        <v>162</v>
      </c>
      <c r="J62">
        <v>124</v>
      </c>
      <c r="K62">
        <v>7</v>
      </c>
    </row>
    <row r="63" spans="1:11" ht="12.75">
      <c r="A63">
        <f t="shared" si="0"/>
        <v>1977</v>
      </c>
      <c r="B63" s="10" t="s">
        <v>120</v>
      </c>
      <c r="C63" s="9" t="s">
        <v>149</v>
      </c>
      <c r="D63">
        <f>'standard variables'!D63</f>
        <v>3189</v>
      </c>
      <c r="E63">
        <f>'standard variables'!E63</f>
        <v>2193</v>
      </c>
      <c r="F63">
        <v>626</v>
      </c>
      <c r="G63">
        <v>26</v>
      </c>
      <c r="H63">
        <v>41</v>
      </c>
      <c r="I63">
        <v>173</v>
      </c>
      <c r="J63">
        <v>133</v>
      </c>
      <c r="K63">
        <v>17</v>
      </c>
    </row>
    <row r="64" spans="1:11" ht="12.75">
      <c r="A64">
        <f t="shared" si="0"/>
        <v>1978</v>
      </c>
      <c r="B64" s="10" t="s">
        <v>120</v>
      </c>
      <c r="C64" s="9" t="s">
        <v>149</v>
      </c>
      <c r="D64">
        <f>'standard variables'!D64</f>
        <v>3360</v>
      </c>
      <c r="E64">
        <f>'standard variables'!E64</f>
        <v>2326</v>
      </c>
      <c r="F64">
        <v>649</v>
      </c>
      <c r="G64">
        <v>29</v>
      </c>
      <c r="H64">
        <v>42</v>
      </c>
      <c r="I64">
        <v>173</v>
      </c>
      <c r="J64">
        <v>134</v>
      </c>
      <c r="K64">
        <v>7</v>
      </c>
    </row>
    <row r="65" spans="1:11" ht="12.75">
      <c r="A65">
        <f t="shared" si="0"/>
        <v>1979</v>
      </c>
      <c r="B65" s="10" t="s">
        <v>120</v>
      </c>
      <c r="C65" s="9" t="s">
        <v>149</v>
      </c>
      <c r="D65">
        <f>'standard variables'!D65</f>
        <v>3448</v>
      </c>
      <c r="E65">
        <f>'standard variables'!E65</f>
        <v>2416</v>
      </c>
      <c r="F65">
        <v>644</v>
      </c>
      <c r="G65">
        <v>27</v>
      </c>
      <c r="H65">
        <v>41</v>
      </c>
      <c r="I65">
        <v>184</v>
      </c>
      <c r="J65">
        <v>129</v>
      </c>
      <c r="K65">
        <v>7</v>
      </c>
    </row>
    <row r="66" spans="1:11" ht="12.75">
      <c r="A66">
        <f t="shared" si="0"/>
        <v>1980</v>
      </c>
      <c r="B66" s="10" t="s">
        <v>120</v>
      </c>
      <c r="C66" s="9" t="s">
        <v>149</v>
      </c>
      <c r="D66">
        <f>'standard variables'!D66</f>
        <v>3477</v>
      </c>
      <c r="E66">
        <f>'standard variables'!E66</f>
        <v>2461</v>
      </c>
      <c r="F66">
        <v>644</v>
      </c>
      <c r="G66">
        <v>27</v>
      </c>
      <c r="H66">
        <v>37</v>
      </c>
      <c r="I66">
        <v>180</v>
      </c>
      <c r="J66">
        <v>123</v>
      </c>
      <c r="K66">
        <v>5</v>
      </c>
    </row>
    <row r="67" spans="1:11" ht="12.75">
      <c r="A67">
        <f t="shared" si="0"/>
        <v>1981</v>
      </c>
      <c r="B67" s="10" t="s">
        <v>120</v>
      </c>
      <c r="C67" s="9" t="s">
        <v>149</v>
      </c>
      <c r="D67">
        <f>'standard variables'!D67</f>
        <v>3534</v>
      </c>
      <c r="E67">
        <f>'standard variables'!E67</f>
        <v>2513</v>
      </c>
      <c r="F67">
        <v>649</v>
      </c>
      <c r="G67">
        <v>25</v>
      </c>
      <c r="H67">
        <v>37</v>
      </c>
      <c r="I67">
        <v>183</v>
      </c>
      <c r="J67">
        <v>121</v>
      </c>
      <c r="K67">
        <v>6</v>
      </c>
    </row>
    <row r="68" spans="1:11" ht="12.75">
      <c r="A68">
        <f t="shared" si="0"/>
        <v>1982</v>
      </c>
      <c r="B68" s="10" t="s">
        <v>120</v>
      </c>
      <c r="C68" s="9" t="s">
        <v>149</v>
      </c>
      <c r="D68">
        <f>'standard variables'!D68</f>
        <v>3554</v>
      </c>
      <c r="E68">
        <f>'standard variables'!E68</f>
        <v>2541</v>
      </c>
      <c r="F68">
        <v>644</v>
      </c>
      <c r="G68">
        <v>25</v>
      </c>
      <c r="H68">
        <v>36</v>
      </c>
      <c r="I68">
        <v>177</v>
      </c>
      <c r="J68">
        <v>125</v>
      </c>
      <c r="K68">
        <v>6</v>
      </c>
    </row>
    <row r="69" spans="1:11" ht="12.75">
      <c r="A69">
        <f t="shared" si="0"/>
        <v>1983</v>
      </c>
      <c r="B69" s="10" t="s">
        <v>120</v>
      </c>
      <c r="C69" s="9" t="s">
        <v>149</v>
      </c>
      <c r="D69">
        <f>'standard variables'!D69</f>
        <v>3520</v>
      </c>
      <c r="E69">
        <f>'standard variables'!E69</f>
        <v>2581</v>
      </c>
      <c r="F69">
        <v>643</v>
      </c>
      <c r="G69">
        <v>21</v>
      </c>
      <c r="H69">
        <v>33</v>
      </c>
      <c r="I69">
        <v>177</v>
      </c>
      <c r="J69">
        <v>120</v>
      </c>
      <c r="K69">
        <v>5</v>
      </c>
    </row>
    <row r="70" spans="1:11" ht="12.75">
      <c r="A70">
        <f t="shared" si="0"/>
        <v>1984</v>
      </c>
      <c r="B70" s="10" t="s">
        <v>120</v>
      </c>
      <c r="C70" s="9" t="s">
        <v>149</v>
      </c>
      <c r="D70">
        <f>'standard variables'!D70</f>
        <v>3604</v>
      </c>
      <c r="E70">
        <f>'standard variables'!E70</f>
        <v>2608</v>
      </c>
      <c r="F70">
        <v>641</v>
      </c>
      <c r="G70">
        <v>21</v>
      </c>
      <c r="H70">
        <v>29</v>
      </c>
      <c r="I70">
        <v>188</v>
      </c>
      <c r="J70">
        <v>111</v>
      </c>
      <c r="K70">
        <v>6</v>
      </c>
    </row>
    <row r="71" spans="1:11" ht="12.75">
      <c r="A71">
        <f t="shared" si="0"/>
        <v>1985</v>
      </c>
      <c r="B71" s="10" t="s">
        <v>120</v>
      </c>
      <c r="C71" s="9" t="s">
        <v>149</v>
      </c>
      <c r="D71">
        <f>'standard variables'!D71</f>
        <v>3667</v>
      </c>
      <c r="E71">
        <f>'standard variables'!E71</f>
        <v>2671</v>
      </c>
      <c r="F71">
        <v>643</v>
      </c>
      <c r="G71">
        <v>21</v>
      </c>
      <c r="H71">
        <v>26</v>
      </c>
      <c r="I71">
        <v>191</v>
      </c>
      <c r="J71">
        <v>108</v>
      </c>
      <c r="K71">
        <v>7</v>
      </c>
    </row>
    <row r="72" spans="1:11" ht="12.75">
      <c r="A72">
        <f t="shared" si="0"/>
        <v>1986</v>
      </c>
      <c r="B72" s="10" t="s">
        <v>120</v>
      </c>
      <c r="C72" s="9" t="s">
        <v>149</v>
      </c>
      <c r="D72">
        <f>'standard variables'!D72</f>
        <v>3747</v>
      </c>
      <c r="E72">
        <f>'standard variables'!E72</f>
        <v>2739</v>
      </c>
      <c r="F72">
        <v>649</v>
      </c>
      <c r="G72">
        <v>20</v>
      </c>
      <c r="H72">
        <v>23</v>
      </c>
      <c r="I72">
        <v>198</v>
      </c>
      <c r="J72">
        <v>111</v>
      </c>
      <c r="K72">
        <v>7</v>
      </c>
    </row>
    <row r="73" spans="1:11" ht="12.75">
      <c r="A73">
        <f t="shared" si="0"/>
        <v>1987</v>
      </c>
      <c r="B73" s="10" t="s">
        <v>120</v>
      </c>
      <c r="C73" s="9" t="s">
        <v>149</v>
      </c>
      <c r="D73">
        <f>'standard variables'!D73</f>
        <v>3790</v>
      </c>
      <c r="E73">
        <f>'standard variables'!E73</f>
        <v>2779</v>
      </c>
      <c r="F73">
        <v>647</v>
      </c>
      <c r="G73">
        <v>21</v>
      </c>
      <c r="H73">
        <v>25</v>
      </c>
      <c r="I73">
        <v>199</v>
      </c>
      <c r="J73">
        <v>112</v>
      </c>
      <c r="K73">
        <v>7</v>
      </c>
    </row>
    <row r="74" spans="1:11" ht="12.75">
      <c r="A74">
        <f t="shared" si="0"/>
        <v>1988</v>
      </c>
      <c r="B74" s="10" t="s">
        <v>120</v>
      </c>
      <c r="C74" s="9" t="s">
        <v>149</v>
      </c>
      <c r="D74">
        <f>'standard variables'!D74</f>
        <v>3828</v>
      </c>
      <c r="E74">
        <f>'standard variables'!E74</f>
        <v>2820</v>
      </c>
      <c r="F74">
        <v>644</v>
      </c>
      <c r="G74">
        <v>21</v>
      </c>
      <c r="H74">
        <v>24</v>
      </c>
      <c r="I74">
        <v>202</v>
      </c>
      <c r="J74">
        <v>110</v>
      </c>
      <c r="K74">
        <v>7</v>
      </c>
    </row>
    <row r="75" spans="1:11" ht="12.75">
      <c r="A75">
        <f t="shared" si="0"/>
        <v>1989</v>
      </c>
      <c r="B75" s="10" t="s">
        <v>120</v>
      </c>
      <c r="C75" s="9" t="s">
        <v>149</v>
      </c>
      <c r="D75">
        <f>'standard variables'!D75</f>
        <v>3876</v>
      </c>
      <c r="E75">
        <f>'standard variables'!E75</f>
        <v>2860</v>
      </c>
      <c r="F75">
        <v>644</v>
      </c>
      <c r="G75">
        <v>21</v>
      </c>
      <c r="H75">
        <v>22</v>
      </c>
      <c r="I75">
        <v>212</v>
      </c>
      <c r="J75">
        <v>110</v>
      </c>
      <c r="K75">
        <v>7</v>
      </c>
    </row>
    <row r="76" spans="1:11" ht="12.75">
      <c r="A76">
        <f t="shared" si="0"/>
        <v>1990</v>
      </c>
      <c r="B76" s="10" t="s">
        <v>120</v>
      </c>
      <c r="C76" s="9" t="s">
        <v>149</v>
      </c>
      <c r="D76">
        <f>'standard variables'!D76</f>
        <v>3915</v>
      </c>
      <c r="E76">
        <f>'standard variables'!E76</f>
        <v>2902</v>
      </c>
      <c r="F76">
        <v>643</v>
      </c>
      <c r="G76">
        <v>21</v>
      </c>
      <c r="H76">
        <v>19</v>
      </c>
      <c r="I76">
        <v>213</v>
      </c>
      <c r="J76">
        <v>110</v>
      </c>
      <c r="K76">
        <v>7</v>
      </c>
    </row>
    <row r="77" spans="1:11" ht="12.75">
      <c r="A77">
        <f t="shared" si="0"/>
        <v>1991</v>
      </c>
      <c r="B77" s="10" t="s">
        <v>120</v>
      </c>
      <c r="C77" s="9" t="s">
        <v>149</v>
      </c>
      <c r="D77">
        <f>'standard variables'!D77</f>
        <v>3983</v>
      </c>
      <c r="E77">
        <f>'standard variables'!E77</f>
        <v>2951</v>
      </c>
      <c r="F77">
        <v>653</v>
      </c>
      <c r="G77">
        <v>21</v>
      </c>
      <c r="H77">
        <v>19</v>
      </c>
      <c r="I77">
        <v>223</v>
      </c>
      <c r="J77">
        <v>109</v>
      </c>
      <c r="K77">
        <v>7</v>
      </c>
    </row>
    <row r="78" spans="1:11" ht="12.75">
      <c r="A78">
        <f t="shared" si="0"/>
        <v>1992</v>
      </c>
      <c r="B78" s="10" t="s">
        <v>120</v>
      </c>
      <c r="C78" s="9" t="s">
        <v>149</v>
      </c>
      <c r="D78">
        <f>'standard variables'!D78</f>
        <v>4084</v>
      </c>
      <c r="E78">
        <f>'standard variables'!E78</f>
        <v>3040</v>
      </c>
      <c r="F78">
        <v>648</v>
      </c>
      <c r="G78">
        <v>21</v>
      </c>
      <c r="H78">
        <v>20</v>
      </c>
      <c r="I78">
        <v>237</v>
      </c>
      <c r="J78">
        <v>111</v>
      </c>
      <c r="K78">
        <v>7</v>
      </c>
    </row>
    <row r="79" spans="1:11" ht="12.75">
      <c r="A79">
        <f aca="true" t="shared" si="1" ref="A79:A86">A78+1</f>
        <v>1993</v>
      </c>
      <c r="B79" s="10" t="s">
        <v>120</v>
      </c>
      <c r="C79" s="9" t="s">
        <v>149</v>
      </c>
      <c r="D79">
        <f>'standard variables'!D79</f>
        <v>4212</v>
      </c>
      <c r="E79">
        <f>'standard variables'!E79</f>
        <v>3104</v>
      </c>
      <c r="F79">
        <v>651</v>
      </c>
      <c r="G79">
        <v>22</v>
      </c>
      <c r="H79">
        <v>21</v>
      </c>
      <c r="I79">
        <v>279</v>
      </c>
      <c r="J79">
        <v>128</v>
      </c>
      <c r="K79">
        <v>7</v>
      </c>
    </row>
    <row r="80" spans="1:11" ht="12.75">
      <c r="A80">
        <f t="shared" si="1"/>
        <v>1994</v>
      </c>
      <c r="B80" s="10" t="s">
        <v>120</v>
      </c>
      <c r="C80" s="9" t="s">
        <v>149</v>
      </c>
      <c r="D80">
        <f>'standard variables'!D80</f>
        <v>4308</v>
      </c>
      <c r="E80">
        <f>'standard variables'!E80</f>
        <v>3180</v>
      </c>
      <c r="F80">
        <v>657</v>
      </c>
      <c r="G80">
        <v>22</v>
      </c>
      <c r="H80">
        <v>17</v>
      </c>
      <c r="I80">
        <v>293</v>
      </c>
      <c r="J80">
        <v>130</v>
      </c>
      <c r="K80">
        <v>9</v>
      </c>
    </row>
    <row r="81" spans="1:11" ht="12.75">
      <c r="A81">
        <f t="shared" si="1"/>
        <v>1995</v>
      </c>
      <c r="B81" s="10" t="s">
        <v>120</v>
      </c>
      <c r="C81" s="9" t="s">
        <v>149</v>
      </c>
      <c r="D81">
        <f>'standard variables'!D81</f>
        <v>4378</v>
      </c>
      <c r="E81">
        <f>'standard variables'!E81</f>
        <v>3231</v>
      </c>
      <c r="F81">
        <v>655</v>
      </c>
      <c r="G81">
        <v>21</v>
      </c>
      <c r="H81">
        <v>16</v>
      </c>
      <c r="I81">
        <v>323</v>
      </c>
      <c r="J81">
        <v>121</v>
      </c>
      <c r="K81">
        <v>11</v>
      </c>
    </row>
    <row r="82" spans="1:11" ht="12.75">
      <c r="A82">
        <f t="shared" si="1"/>
        <v>1996</v>
      </c>
      <c r="B82" s="10" t="s">
        <v>120</v>
      </c>
      <c r="C82" s="9" t="s">
        <v>149</v>
      </c>
      <c r="D82">
        <f>'standard variables'!D82</f>
        <v>4467</v>
      </c>
      <c r="E82">
        <f>'standard variables'!E82</f>
        <v>3282</v>
      </c>
      <c r="F82">
        <v>644</v>
      </c>
      <c r="G82">
        <v>21</v>
      </c>
      <c r="H82">
        <v>17</v>
      </c>
      <c r="I82">
        <v>258</v>
      </c>
      <c r="J82">
        <v>133</v>
      </c>
      <c r="K82">
        <v>12</v>
      </c>
    </row>
    <row r="83" spans="1:11" ht="12.75">
      <c r="A83">
        <f t="shared" si="1"/>
        <v>1997</v>
      </c>
      <c r="B83" s="10" t="s">
        <v>120</v>
      </c>
      <c r="C83" s="9" t="s">
        <v>149</v>
      </c>
      <c r="D83">
        <f>'standard variables'!D83</f>
        <v>-2</v>
      </c>
      <c r="E83">
        <f>'standard variables'!E83</f>
        <v>-2</v>
      </c>
      <c r="F83">
        <v>-2</v>
      </c>
      <c r="G83">
        <v>-2</v>
      </c>
      <c r="H83">
        <v>-2</v>
      </c>
      <c r="I83">
        <v>-2</v>
      </c>
      <c r="J83">
        <v>-2</v>
      </c>
      <c r="K83">
        <v>-2</v>
      </c>
    </row>
    <row r="84" spans="1:11" ht="12.75">
      <c r="A84">
        <f t="shared" si="1"/>
        <v>1998</v>
      </c>
      <c r="B84" s="10" t="s">
        <v>120</v>
      </c>
      <c r="C84" s="9" t="s">
        <v>149</v>
      </c>
      <c r="D84">
        <f>'standard variables'!D84</f>
        <v>-2</v>
      </c>
      <c r="E84">
        <f>'standard variables'!E84</f>
        <v>-2</v>
      </c>
      <c r="F84">
        <v>-2</v>
      </c>
      <c r="G84">
        <v>-2</v>
      </c>
      <c r="H84">
        <v>-2</v>
      </c>
      <c r="I84">
        <v>-2</v>
      </c>
      <c r="J84">
        <v>-2</v>
      </c>
      <c r="K84">
        <v>-2</v>
      </c>
    </row>
    <row r="85" spans="1:11" ht="12.75">
      <c r="A85">
        <f t="shared" si="1"/>
        <v>1999</v>
      </c>
      <c r="B85" s="10" t="s">
        <v>120</v>
      </c>
      <c r="C85" s="9" t="s">
        <v>149</v>
      </c>
      <c r="D85">
        <f>'standard variables'!D85</f>
        <v>0</v>
      </c>
      <c r="E85">
        <f>'standard variables'!E85</f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>
        <f t="shared" si="1"/>
        <v>2000</v>
      </c>
      <c r="B86" s="10" t="s">
        <v>120</v>
      </c>
      <c r="C86" s="9" t="s">
        <v>149</v>
      </c>
      <c r="D86">
        <f>'standard variables'!D86</f>
        <v>0</v>
      </c>
      <c r="E86">
        <f>'standard variables'!E86</f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</sheetData>
  <printOptions gridLines="1"/>
  <pageMargins left="0.75" right="0.75" top="1" bottom="1" header="0.511811023" footer="0.511811023"/>
  <pageSetup cellComments="atEnd" horizontalDpi="600" verticalDpi="600" orientation="landscape" paperSize="9" r:id="rId3"/>
  <headerFooter alignWithMargins="0">
    <oddHeader>&amp;C&amp;A</oddHeader>
    <oddFooter>&amp;CSeite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G136"/>
  <sheetViews>
    <sheetView zoomScale="75" zoomScaleNormal="75" workbookViewId="0" topLeftCell="A1">
      <pane xSplit="3" ySplit="8" topLeftCell="R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24" sqref="V24"/>
    </sheetView>
  </sheetViews>
  <sheetFormatPr defaultColWidth="11.421875" defaultRowHeight="12.75"/>
  <sheetData>
    <row r="1" ht="15.75">
      <c r="A1" s="5" t="s">
        <v>141</v>
      </c>
    </row>
    <row r="2" spans="1:24" ht="15">
      <c r="A2" s="7" t="s">
        <v>140</v>
      </c>
      <c r="D2" s="2"/>
      <c r="X2" s="2"/>
    </row>
    <row r="3" spans="1:24" ht="15">
      <c r="A3" s="7" t="s">
        <v>142</v>
      </c>
      <c r="D3" s="11"/>
      <c r="N3" s="11"/>
      <c r="X3" s="1"/>
    </row>
    <row r="4" spans="1:33" ht="12.75">
      <c r="A4" s="8" t="s">
        <v>143</v>
      </c>
      <c r="E4" s="12"/>
      <c r="F4" s="12"/>
      <c r="G4" s="12"/>
      <c r="H4" s="12"/>
      <c r="I4" s="12"/>
      <c r="J4" s="12"/>
      <c r="K4" s="12"/>
      <c r="L4" s="12"/>
      <c r="M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24" ht="15">
      <c r="A5" s="6"/>
      <c r="D5" s="2" t="s">
        <v>132</v>
      </c>
      <c r="X5" s="2" t="s">
        <v>129</v>
      </c>
    </row>
    <row r="6" spans="1:24" ht="15">
      <c r="A6" s="7"/>
      <c r="D6" s="11" t="s">
        <v>131</v>
      </c>
      <c r="N6" s="11" t="s">
        <v>133</v>
      </c>
      <c r="X6" s="1" t="s">
        <v>134</v>
      </c>
    </row>
    <row r="7" spans="1:33" ht="12.75">
      <c r="A7" s="8"/>
      <c r="D7" t="str">
        <f>'standard variables'!D7</f>
        <v>total number of institutions</v>
      </c>
      <c r="E7" s="12" t="s">
        <v>121</v>
      </c>
      <c r="F7" s="12" t="s">
        <v>122</v>
      </c>
      <c r="G7" s="12" t="s">
        <v>123</v>
      </c>
      <c r="H7" s="12" t="s">
        <v>124</v>
      </c>
      <c r="I7" s="12" t="s">
        <v>125</v>
      </c>
      <c r="J7" s="12" t="s">
        <v>126</v>
      </c>
      <c r="K7" s="12" t="s">
        <v>127</v>
      </c>
      <c r="L7" s="12" t="s">
        <v>171</v>
      </c>
      <c r="M7" s="12" t="s">
        <v>128</v>
      </c>
      <c r="N7" t="s">
        <v>130</v>
      </c>
      <c r="O7" s="12" t="s">
        <v>121</v>
      </c>
      <c r="P7" s="12" t="s">
        <v>122</v>
      </c>
      <c r="Q7" s="12" t="s">
        <v>123</v>
      </c>
      <c r="R7" s="12" t="s">
        <v>124</v>
      </c>
      <c r="S7" s="12" t="s">
        <v>125</v>
      </c>
      <c r="T7" s="12" t="s">
        <v>126</v>
      </c>
      <c r="U7" s="12" t="s">
        <v>127</v>
      </c>
      <c r="V7" s="12" t="s">
        <v>171</v>
      </c>
      <c r="W7" s="12" t="s">
        <v>128</v>
      </c>
      <c r="X7" s="12" t="str">
        <f>'standard variables'!AL7</f>
        <v>in all institutions</v>
      </c>
      <c r="Y7" s="12" t="s">
        <v>121</v>
      </c>
      <c r="Z7" s="12" t="s">
        <v>122</v>
      </c>
      <c r="AA7" s="12" t="s">
        <v>123</v>
      </c>
      <c r="AB7" s="12" t="s">
        <v>124</v>
      </c>
      <c r="AC7" s="12" t="s">
        <v>125</v>
      </c>
      <c r="AD7" s="12" t="s">
        <v>126</v>
      </c>
      <c r="AE7" s="12" t="s">
        <v>127</v>
      </c>
      <c r="AF7" s="12" t="s">
        <v>171</v>
      </c>
      <c r="AG7" s="12" t="s">
        <v>128</v>
      </c>
    </row>
    <row r="8" spans="1:24" ht="12.75">
      <c r="A8" s="9" t="s">
        <v>33</v>
      </c>
      <c r="B8" t="s">
        <v>34</v>
      </c>
      <c r="C8" t="s">
        <v>35</v>
      </c>
      <c r="D8" t="s">
        <v>36</v>
      </c>
      <c r="X8" t="s">
        <v>70</v>
      </c>
    </row>
    <row r="9" spans="1:33" ht="12.75">
      <c r="A9">
        <v>1923</v>
      </c>
      <c r="B9" s="10" t="s">
        <v>120</v>
      </c>
      <c r="C9" s="9" t="s">
        <v>149</v>
      </c>
      <c r="D9">
        <f>'standard variables'!D9</f>
        <v>549</v>
      </c>
      <c r="E9">
        <v>38</v>
      </c>
      <c r="F9">
        <v>17</v>
      </c>
      <c r="G9">
        <v>160</v>
      </c>
      <c r="H9">
        <v>110</v>
      </c>
      <c r="I9">
        <v>27</v>
      </c>
      <c r="J9">
        <v>27</v>
      </c>
      <c r="K9">
        <v>45</v>
      </c>
      <c r="L9">
        <v>16</v>
      </c>
      <c r="M9">
        <v>109</v>
      </c>
      <c r="N9">
        <f aca="true" t="shared" si="0" ref="N9:N68">IF(AND(O9&lt;0,P9&lt;0,Q9&lt;0,R9&lt;0,S9&lt;0,T9&lt;0,U9&lt;0,V9&lt;0,W9&lt;0),MIN(O9:W9),SUMIF(O9:W9,"&gt;=0",O9:W9))</f>
        <v>677</v>
      </c>
      <c r="O9">
        <v>-2</v>
      </c>
      <c r="P9" s="13">
        <v>22</v>
      </c>
      <c r="Q9" s="13">
        <v>172</v>
      </c>
      <c r="R9" s="13">
        <v>114</v>
      </c>
      <c r="S9" s="13">
        <v>28</v>
      </c>
      <c r="T9" s="13">
        <v>29</v>
      </c>
      <c r="U9" s="13">
        <v>56</v>
      </c>
      <c r="V9" s="13">
        <v>19</v>
      </c>
      <c r="W9" s="13">
        <v>237</v>
      </c>
      <c r="X9" s="12">
        <f>'standard variables'!AL9</f>
        <v>28168</v>
      </c>
      <c r="Y9" s="12">
        <v>-2</v>
      </c>
      <c r="Z9">
        <v>788</v>
      </c>
      <c r="AA9">
        <v>6566</v>
      </c>
      <c r="AB9">
        <v>4881</v>
      </c>
      <c r="AC9">
        <v>1435</v>
      </c>
      <c r="AD9">
        <v>1003</v>
      </c>
      <c r="AE9">
        <v>2703</v>
      </c>
      <c r="AF9">
        <v>986</v>
      </c>
      <c r="AG9">
        <v>9806</v>
      </c>
    </row>
    <row r="10" spans="1:33" ht="12.75">
      <c r="A10">
        <f aca="true" t="shared" si="1" ref="A10:A71">A9+1</f>
        <v>1924</v>
      </c>
      <c r="B10" s="10" t="s">
        <v>120</v>
      </c>
      <c r="C10" s="9" t="s">
        <v>149</v>
      </c>
      <c r="D10">
        <f>'standard variables'!D10</f>
        <v>614</v>
      </c>
      <c r="E10">
        <v>42</v>
      </c>
      <c r="F10">
        <v>19</v>
      </c>
      <c r="G10" s="13">
        <v>188</v>
      </c>
      <c r="H10">
        <v>124</v>
      </c>
      <c r="I10">
        <v>26</v>
      </c>
      <c r="J10">
        <v>37</v>
      </c>
      <c r="K10">
        <v>36</v>
      </c>
      <c r="L10">
        <v>19</v>
      </c>
      <c r="M10">
        <v>123</v>
      </c>
      <c r="N10">
        <f t="shared" si="0"/>
        <v>937</v>
      </c>
      <c r="O10">
        <v>59</v>
      </c>
      <c r="P10" s="13">
        <v>28</v>
      </c>
      <c r="Q10" s="13">
        <v>245</v>
      </c>
      <c r="R10" s="13">
        <v>147</v>
      </c>
      <c r="S10" s="13">
        <v>28</v>
      </c>
      <c r="T10" s="13">
        <v>86</v>
      </c>
      <c r="U10" s="13">
        <v>58</v>
      </c>
      <c r="V10" s="13">
        <v>25</v>
      </c>
      <c r="W10" s="13">
        <v>261</v>
      </c>
      <c r="X10" s="12">
        <f>'standard variables'!AL10</f>
        <v>41387</v>
      </c>
      <c r="Y10">
        <v>3806</v>
      </c>
      <c r="Z10" s="13">
        <v>990</v>
      </c>
      <c r="AA10">
        <v>10107</v>
      </c>
      <c r="AB10">
        <v>6988</v>
      </c>
      <c r="AC10">
        <v>1505</v>
      </c>
      <c r="AD10">
        <v>3020</v>
      </c>
      <c r="AE10">
        <v>2862</v>
      </c>
      <c r="AF10">
        <v>1291</v>
      </c>
      <c r="AG10">
        <v>10818</v>
      </c>
    </row>
    <row r="11" spans="1:33" ht="12.75">
      <c r="A11">
        <f t="shared" si="1"/>
        <v>1925</v>
      </c>
      <c r="B11" s="10" t="s">
        <v>120</v>
      </c>
      <c r="C11" s="9" t="s">
        <v>149</v>
      </c>
      <c r="D11">
        <f>'standard variables'!D11</f>
        <v>641</v>
      </c>
      <c r="E11">
        <v>43</v>
      </c>
      <c r="F11">
        <v>20</v>
      </c>
      <c r="G11">
        <v>197</v>
      </c>
      <c r="H11">
        <v>126</v>
      </c>
      <c r="I11">
        <v>25</v>
      </c>
      <c r="J11">
        <v>47</v>
      </c>
      <c r="K11">
        <v>39</v>
      </c>
      <c r="L11">
        <v>19</v>
      </c>
      <c r="M11">
        <v>125</v>
      </c>
      <c r="N11">
        <f t="shared" si="0"/>
        <v>985</v>
      </c>
      <c r="O11">
        <v>62</v>
      </c>
      <c r="P11">
        <v>32</v>
      </c>
      <c r="Q11">
        <v>269</v>
      </c>
      <c r="R11">
        <v>159</v>
      </c>
      <c r="S11">
        <v>26</v>
      </c>
      <c r="T11">
        <v>80</v>
      </c>
      <c r="U11">
        <v>66</v>
      </c>
      <c r="V11">
        <v>28</v>
      </c>
      <c r="W11">
        <v>263</v>
      </c>
      <c r="X11" s="12">
        <f>'standard variables'!AL11</f>
        <v>41891</v>
      </c>
      <c r="Y11">
        <v>3660</v>
      </c>
      <c r="Z11">
        <v>1121</v>
      </c>
      <c r="AA11">
        <v>10452</v>
      </c>
      <c r="AB11">
        <v>7061</v>
      </c>
      <c r="AC11">
        <v>1301</v>
      </c>
      <c r="AD11">
        <v>2708</v>
      </c>
      <c r="AE11">
        <v>3301</v>
      </c>
      <c r="AF11">
        <v>1423</v>
      </c>
      <c r="AG11">
        <v>10864</v>
      </c>
    </row>
    <row r="12" spans="1:33" ht="12.75">
      <c r="A12">
        <f t="shared" si="1"/>
        <v>1926</v>
      </c>
      <c r="B12" s="10" t="s">
        <v>120</v>
      </c>
      <c r="C12" s="9" t="s">
        <v>149</v>
      </c>
      <c r="D12">
        <f>'standard variables'!D12</f>
        <v>693</v>
      </c>
      <c r="E12">
        <v>43</v>
      </c>
      <c r="F12">
        <v>20</v>
      </c>
      <c r="G12">
        <v>201</v>
      </c>
      <c r="H12">
        <v>130</v>
      </c>
      <c r="I12">
        <v>26</v>
      </c>
      <c r="J12">
        <v>71</v>
      </c>
      <c r="K12">
        <v>42</v>
      </c>
      <c r="L12">
        <v>20</v>
      </c>
      <c r="M12">
        <v>140</v>
      </c>
      <c r="N12">
        <f t="shared" si="0"/>
        <v>1036</v>
      </c>
      <c r="O12">
        <v>65</v>
      </c>
      <c r="P12">
        <v>28</v>
      </c>
      <c r="Q12">
        <v>269</v>
      </c>
      <c r="R12">
        <v>160</v>
      </c>
      <c r="S12">
        <v>27</v>
      </c>
      <c r="T12">
        <v>75</v>
      </c>
      <c r="U12">
        <v>71</v>
      </c>
      <c r="V12">
        <v>28</v>
      </c>
      <c r="W12">
        <v>313</v>
      </c>
      <c r="X12" s="12">
        <f>'standard variables'!AL12</f>
        <v>43258</v>
      </c>
      <c r="Y12">
        <v>3525</v>
      </c>
      <c r="Z12">
        <v>1060</v>
      </c>
      <c r="AA12">
        <v>10886</v>
      </c>
      <c r="AB12">
        <v>7115</v>
      </c>
      <c r="AC12">
        <v>1350</v>
      </c>
      <c r="AD12">
        <v>2754</v>
      </c>
      <c r="AE12">
        <v>3274</v>
      </c>
      <c r="AF12">
        <v>1428</v>
      </c>
      <c r="AG12">
        <v>11866</v>
      </c>
    </row>
    <row r="13" spans="1:33" ht="12.75">
      <c r="A13">
        <f t="shared" si="1"/>
        <v>1927</v>
      </c>
      <c r="B13" s="10" t="s">
        <v>120</v>
      </c>
      <c r="C13" s="9" t="s">
        <v>149</v>
      </c>
      <c r="D13">
        <f>'standard variables'!D13</f>
        <v>706</v>
      </c>
      <c r="E13">
        <v>44</v>
      </c>
      <c r="F13">
        <v>21</v>
      </c>
      <c r="G13">
        <v>212</v>
      </c>
      <c r="H13">
        <v>118</v>
      </c>
      <c r="I13">
        <v>28</v>
      </c>
      <c r="J13">
        <v>53</v>
      </c>
      <c r="K13">
        <v>42</v>
      </c>
      <c r="L13">
        <v>19</v>
      </c>
      <c r="M13">
        <v>169</v>
      </c>
      <c r="N13">
        <f t="shared" si="0"/>
        <v>1107</v>
      </c>
      <c r="O13">
        <v>64</v>
      </c>
      <c r="P13">
        <v>31</v>
      </c>
      <c r="Q13">
        <v>279</v>
      </c>
      <c r="R13">
        <v>157</v>
      </c>
      <c r="S13">
        <v>33</v>
      </c>
      <c r="T13">
        <v>85</v>
      </c>
      <c r="U13">
        <v>73</v>
      </c>
      <c r="V13">
        <v>26</v>
      </c>
      <c r="W13">
        <v>359</v>
      </c>
      <c r="X13" s="12">
        <f>'standard variables'!AL13</f>
        <v>43853</v>
      </c>
      <c r="Y13">
        <v>3681</v>
      </c>
      <c r="Z13">
        <v>1058</v>
      </c>
      <c r="AA13">
        <v>11319</v>
      </c>
      <c r="AB13">
        <v>6462</v>
      </c>
      <c r="AC13">
        <v>1400</v>
      </c>
      <c r="AD13">
        <v>2933</v>
      </c>
      <c r="AE13">
        <v>3213</v>
      </c>
      <c r="AF13">
        <v>1392</v>
      </c>
      <c r="AG13">
        <v>12395</v>
      </c>
    </row>
    <row r="14" spans="1:33" ht="12.75">
      <c r="A14">
        <f t="shared" si="1"/>
        <v>1928</v>
      </c>
      <c r="B14" s="10" t="s">
        <v>120</v>
      </c>
      <c r="C14" s="9" t="s">
        <v>149</v>
      </c>
      <c r="D14">
        <f>'standard variables'!D14</f>
        <v>765</v>
      </c>
      <c r="E14">
        <v>44</v>
      </c>
      <c r="F14">
        <v>23</v>
      </c>
      <c r="G14">
        <v>220</v>
      </c>
      <c r="H14">
        <v>122</v>
      </c>
      <c r="I14">
        <v>28</v>
      </c>
      <c r="J14">
        <v>56</v>
      </c>
      <c r="K14">
        <v>44</v>
      </c>
      <c r="L14">
        <v>22</v>
      </c>
      <c r="M14">
        <v>206</v>
      </c>
      <c r="N14">
        <f t="shared" si="0"/>
        <v>1221</v>
      </c>
      <c r="O14">
        <v>69</v>
      </c>
      <c r="P14">
        <v>31</v>
      </c>
      <c r="Q14">
        <v>295</v>
      </c>
      <c r="R14">
        <v>153</v>
      </c>
      <c r="S14">
        <v>34</v>
      </c>
      <c r="T14">
        <v>90</v>
      </c>
      <c r="U14">
        <v>81</v>
      </c>
      <c r="V14">
        <v>29</v>
      </c>
      <c r="W14">
        <v>439</v>
      </c>
      <c r="X14" s="12">
        <f>'standard variables'!AL14</f>
        <v>45994</v>
      </c>
      <c r="Y14">
        <v>3565</v>
      </c>
      <c r="Z14">
        <v>1060</v>
      </c>
      <c r="AA14">
        <v>11662</v>
      </c>
      <c r="AB14">
        <v>6300</v>
      </c>
      <c r="AC14">
        <v>1405</v>
      </c>
      <c r="AD14">
        <v>3310</v>
      </c>
      <c r="AE14">
        <v>3533</v>
      </c>
      <c r="AF14">
        <v>1528</v>
      </c>
      <c r="AG14">
        <v>13631</v>
      </c>
    </row>
    <row r="15" spans="1:33" ht="12.75">
      <c r="A15">
        <f t="shared" si="1"/>
        <v>1929</v>
      </c>
      <c r="B15" s="10" t="s">
        <v>120</v>
      </c>
      <c r="C15" s="9" t="s">
        <v>149</v>
      </c>
      <c r="D15">
        <f>'standard variables'!D15</f>
        <v>793</v>
      </c>
      <c r="E15">
        <v>36</v>
      </c>
      <c r="F15">
        <v>23</v>
      </c>
      <c r="G15">
        <v>226</v>
      </c>
      <c r="H15">
        <v>130</v>
      </c>
      <c r="I15">
        <v>29</v>
      </c>
      <c r="J15">
        <v>61</v>
      </c>
      <c r="K15">
        <v>46</v>
      </c>
      <c r="L15">
        <v>23</v>
      </c>
      <c r="M15">
        <v>219</v>
      </c>
      <c r="N15">
        <f t="shared" si="0"/>
        <v>1255</v>
      </c>
      <c r="O15">
        <v>48</v>
      </c>
      <c r="P15">
        <v>36</v>
      </c>
      <c r="Q15">
        <v>295</v>
      </c>
      <c r="R15">
        <v>171</v>
      </c>
      <c r="S15">
        <v>33</v>
      </c>
      <c r="T15">
        <v>96</v>
      </c>
      <c r="U15">
        <v>85</v>
      </c>
      <c r="V15">
        <v>30</v>
      </c>
      <c r="W15">
        <v>461</v>
      </c>
      <c r="X15" s="12">
        <f>'standard variables'!AL15</f>
        <v>45786</v>
      </c>
      <c r="Y15">
        <v>2824</v>
      </c>
      <c r="Z15">
        <v>1077</v>
      </c>
      <c r="AA15">
        <v>11420</v>
      </c>
      <c r="AB15">
        <v>6556</v>
      </c>
      <c r="AC15">
        <v>1392</v>
      </c>
      <c r="AD15">
        <v>3438</v>
      </c>
      <c r="AE15">
        <v>3444</v>
      </c>
      <c r="AF15">
        <v>1324</v>
      </c>
      <c r="AG15">
        <v>14311</v>
      </c>
    </row>
    <row r="16" spans="1:33" ht="12.75">
      <c r="A16">
        <f t="shared" si="1"/>
        <v>1930</v>
      </c>
      <c r="B16" s="10" t="s">
        <v>120</v>
      </c>
      <c r="C16" s="9" t="s">
        <v>149</v>
      </c>
      <c r="D16">
        <f>'standard variables'!D16</f>
        <v>838</v>
      </c>
      <c r="E16">
        <v>35</v>
      </c>
      <c r="F16">
        <v>24</v>
      </c>
      <c r="G16">
        <v>237</v>
      </c>
      <c r="H16">
        <v>137</v>
      </c>
      <c r="I16">
        <v>29</v>
      </c>
      <c r="J16">
        <v>70</v>
      </c>
      <c r="K16">
        <v>47</v>
      </c>
      <c r="L16">
        <v>23</v>
      </c>
      <c r="M16">
        <v>236</v>
      </c>
      <c r="N16">
        <f t="shared" si="0"/>
        <v>1343</v>
      </c>
      <c r="O16">
        <v>48</v>
      </c>
      <c r="P16">
        <v>39</v>
      </c>
      <c r="Q16">
        <v>311</v>
      </c>
      <c r="R16">
        <v>167</v>
      </c>
      <c r="S16">
        <v>36</v>
      </c>
      <c r="T16">
        <v>105</v>
      </c>
      <c r="U16">
        <v>84</v>
      </c>
      <c r="V16">
        <v>33</v>
      </c>
      <c r="W16">
        <v>520</v>
      </c>
      <c r="X16" s="12">
        <f>'standard variables'!AL16</f>
        <v>46796</v>
      </c>
      <c r="Y16">
        <v>2692</v>
      </c>
      <c r="Z16">
        <v>1057</v>
      </c>
      <c r="AA16">
        <v>11773</v>
      </c>
      <c r="AB16">
        <v>6645</v>
      </c>
      <c r="AC16">
        <v>1466</v>
      </c>
      <c r="AD16">
        <v>3478</v>
      </c>
      <c r="AE16">
        <v>3437</v>
      </c>
      <c r="AF16">
        <v>1527</v>
      </c>
      <c r="AG16">
        <v>14721</v>
      </c>
    </row>
    <row r="17" spans="1:33" ht="12.75">
      <c r="A17">
        <f t="shared" si="1"/>
        <v>1931</v>
      </c>
      <c r="B17" s="10" t="s">
        <v>120</v>
      </c>
      <c r="C17" s="9" t="s">
        <v>149</v>
      </c>
      <c r="D17">
        <f>'standard variables'!D17</f>
        <v>880</v>
      </c>
      <c r="E17">
        <v>35</v>
      </c>
      <c r="F17">
        <v>29</v>
      </c>
      <c r="G17">
        <v>237</v>
      </c>
      <c r="H17">
        <v>138</v>
      </c>
      <c r="I17">
        <v>29</v>
      </c>
      <c r="J17">
        <v>78</v>
      </c>
      <c r="K17">
        <v>52</v>
      </c>
      <c r="L17">
        <v>26</v>
      </c>
      <c r="M17">
        <v>256</v>
      </c>
      <c r="N17">
        <f t="shared" si="0"/>
        <v>1369</v>
      </c>
      <c r="O17">
        <v>49</v>
      </c>
      <c r="P17">
        <v>39</v>
      </c>
      <c r="Q17">
        <v>305</v>
      </c>
      <c r="R17">
        <v>175</v>
      </c>
      <c r="S17">
        <v>35</v>
      </c>
      <c r="T17">
        <v>103</v>
      </c>
      <c r="U17">
        <v>92</v>
      </c>
      <c r="V17">
        <v>34</v>
      </c>
      <c r="W17">
        <v>537</v>
      </c>
      <c r="X17" s="12">
        <f>'standard variables'!AL17</f>
        <v>45334</v>
      </c>
      <c r="Y17">
        <v>2619</v>
      </c>
      <c r="Z17">
        <v>1241</v>
      </c>
      <c r="AA17">
        <v>11270</v>
      </c>
      <c r="AB17">
        <v>6040</v>
      </c>
      <c r="AC17">
        <v>1335</v>
      </c>
      <c r="AD17">
        <v>3475</v>
      </c>
      <c r="AE17">
        <v>3594</v>
      </c>
      <c r="AF17">
        <v>1649</v>
      </c>
      <c r="AG17">
        <v>14111</v>
      </c>
    </row>
    <row r="18" spans="1:33" ht="12.75">
      <c r="A18">
        <f t="shared" si="1"/>
        <v>1932</v>
      </c>
      <c r="B18" s="10" t="s">
        <v>120</v>
      </c>
      <c r="C18" s="9" t="s">
        <v>149</v>
      </c>
      <c r="D18">
        <f>'standard variables'!D18</f>
        <v>874</v>
      </c>
      <c r="E18">
        <v>32</v>
      </c>
      <c r="F18">
        <v>30</v>
      </c>
      <c r="G18">
        <v>237</v>
      </c>
      <c r="H18">
        <v>136</v>
      </c>
      <c r="I18">
        <v>30</v>
      </c>
      <c r="J18">
        <v>69</v>
      </c>
      <c r="K18">
        <v>54</v>
      </c>
      <c r="L18">
        <v>25</v>
      </c>
      <c r="M18">
        <v>261</v>
      </c>
      <c r="N18">
        <f t="shared" si="0"/>
        <v>1355</v>
      </c>
      <c r="O18">
        <v>42</v>
      </c>
      <c r="P18">
        <v>38</v>
      </c>
      <c r="Q18">
        <v>304</v>
      </c>
      <c r="R18">
        <v>172</v>
      </c>
      <c r="S18">
        <v>37</v>
      </c>
      <c r="T18">
        <v>104</v>
      </c>
      <c r="U18">
        <v>97</v>
      </c>
      <c r="V18">
        <v>34</v>
      </c>
      <c r="W18">
        <v>527</v>
      </c>
      <c r="X18" s="12">
        <f>'standard variables'!AL18</f>
        <v>44661</v>
      </c>
      <c r="Y18">
        <v>2317</v>
      </c>
      <c r="Z18">
        <v>1248</v>
      </c>
      <c r="AA18">
        <v>11280</v>
      </c>
      <c r="AB18">
        <v>6018</v>
      </c>
      <c r="AC18">
        <v>1348</v>
      </c>
      <c r="AD18">
        <v>3390</v>
      </c>
      <c r="AE18">
        <v>3620</v>
      </c>
      <c r="AF18">
        <v>1658</v>
      </c>
      <c r="AG18">
        <v>13782</v>
      </c>
    </row>
    <row r="19" spans="1:33" ht="12.75">
      <c r="A19">
        <f t="shared" si="1"/>
        <v>1933</v>
      </c>
      <c r="B19" s="10" t="s">
        <v>120</v>
      </c>
      <c r="C19" s="9" t="s">
        <v>149</v>
      </c>
      <c r="D19">
        <f>'standard variables'!D19</f>
        <v>893</v>
      </c>
      <c r="E19">
        <v>27</v>
      </c>
      <c r="F19">
        <v>34</v>
      </c>
      <c r="G19">
        <v>242</v>
      </c>
      <c r="H19">
        <v>136</v>
      </c>
      <c r="I19">
        <v>30</v>
      </c>
      <c r="J19">
        <v>70</v>
      </c>
      <c r="K19">
        <v>55</v>
      </c>
      <c r="L19">
        <v>26</v>
      </c>
      <c r="M19">
        <v>273</v>
      </c>
      <c r="N19">
        <f t="shared" si="0"/>
        <v>1339</v>
      </c>
      <c r="O19">
        <v>35</v>
      </c>
      <c r="P19">
        <v>41</v>
      </c>
      <c r="Q19">
        <v>309</v>
      </c>
      <c r="R19">
        <v>172</v>
      </c>
      <c r="S19">
        <v>35</v>
      </c>
      <c r="T19">
        <v>98</v>
      </c>
      <c r="U19">
        <v>98</v>
      </c>
      <c r="V19">
        <v>34</v>
      </c>
      <c r="W19">
        <v>517</v>
      </c>
      <c r="X19" s="12">
        <f>'standard variables'!AL19</f>
        <v>44874</v>
      </c>
      <c r="Y19">
        <v>1822</v>
      </c>
      <c r="Z19">
        <v>1329</v>
      </c>
      <c r="AA19">
        <v>11353</v>
      </c>
      <c r="AB19">
        <v>6076</v>
      </c>
      <c r="AC19">
        <v>1230</v>
      </c>
      <c r="AD19">
        <v>3296</v>
      </c>
      <c r="AE19">
        <v>3806</v>
      </c>
      <c r="AF19">
        <v>1623</v>
      </c>
      <c r="AG19">
        <v>14339</v>
      </c>
    </row>
    <row r="20" spans="1:33" ht="12.75">
      <c r="A20">
        <f t="shared" si="1"/>
        <v>1934</v>
      </c>
      <c r="B20" s="10" t="s">
        <v>120</v>
      </c>
      <c r="C20" s="9" t="s">
        <v>149</v>
      </c>
      <c r="D20">
        <f>'standard variables'!D20</f>
        <v>872</v>
      </c>
      <c r="E20">
        <v>29</v>
      </c>
      <c r="F20">
        <v>30</v>
      </c>
      <c r="G20">
        <v>253</v>
      </c>
      <c r="H20">
        <v>143</v>
      </c>
      <c r="I20">
        <v>29</v>
      </c>
      <c r="J20">
        <v>58</v>
      </c>
      <c r="K20">
        <v>55</v>
      </c>
      <c r="L20">
        <v>26</v>
      </c>
      <c r="M20">
        <v>249</v>
      </c>
      <c r="N20">
        <f t="shared" si="0"/>
        <v>1267</v>
      </c>
      <c r="O20">
        <v>35</v>
      </c>
      <c r="P20">
        <v>37</v>
      </c>
      <c r="Q20">
        <v>314</v>
      </c>
      <c r="R20">
        <v>166</v>
      </c>
      <c r="S20">
        <v>34</v>
      </c>
      <c r="T20">
        <v>88</v>
      </c>
      <c r="U20">
        <v>99</v>
      </c>
      <c r="V20">
        <v>35</v>
      </c>
      <c r="W20">
        <v>459</v>
      </c>
      <c r="X20" s="12">
        <f>'standard variables'!AL20</f>
        <v>44704</v>
      </c>
      <c r="Y20">
        <v>1874</v>
      </c>
      <c r="Z20">
        <v>1310</v>
      </c>
      <c r="AA20">
        <v>12233</v>
      </c>
      <c r="AB20">
        <v>6042</v>
      </c>
      <c r="AC20">
        <v>1315</v>
      </c>
      <c r="AD20">
        <v>2648</v>
      </c>
      <c r="AE20">
        <v>3872</v>
      </c>
      <c r="AF20">
        <v>1651</v>
      </c>
      <c r="AG20">
        <v>13759</v>
      </c>
    </row>
    <row r="21" spans="1:33" ht="12.75">
      <c r="A21">
        <f t="shared" si="1"/>
        <v>1935</v>
      </c>
      <c r="B21" s="10" t="s">
        <v>120</v>
      </c>
      <c r="C21" s="9" t="s">
        <v>149</v>
      </c>
      <c r="D21">
        <f>'standard variables'!D21</f>
        <v>889</v>
      </c>
      <c r="E21">
        <v>31</v>
      </c>
      <c r="F21">
        <v>31</v>
      </c>
      <c r="G21">
        <v>259</v>
      </c>
      <c r="H21">
        <v>147</v>
      </c>
      <c r="I21">
        <v>31</v>
      </c>
      <c r="J21">
        <v>67</v>
      </c>
      <c r="K21">
        <v>60</v>
      </c>
      <c r="L21">
        <v>25</v>
      </c>
      <c r="M21">
        <v>238</v>
      </c>
      <c r="N21">
        <f t="shared" si="0"/>
        <v>1386</v>
      </c>
      <c r="O21">
        <v>39</v>
      </c>
      <c r="P21">
        <v>39</v>
      </c>
      <c r="Q21">
        <v>302</v>
      </c>
      <c r="R21">
        <v>191</v>
      </c>
      <c r="S21">
        <v>36</v>
      </c>
      <c r="T21">
        <v>96</v>
      </c>
      <c r="U21">
        <v>102</v>
      </c>
      <c r="V21">
        <v>34</v>
      </c>
      <c r="W21">
        <v>547</v>
      </c>
      <c r="X21" s="12">
        <f>'standard variables'!AL21</f>
        <v>45330</v>
      </c>
      <c r="Y21">
        <v>2121</v>
      </c>
      <c r="Z21">
        <v>1398</v>
      </c>
      <c r="AA21">
        <v>12275</v>
      </c>
      <c r="AB21">
        <v>6088</v>
      </c>
      <c r="AC21">
        <v>1345</v>
      </c>
      <c r="AD21">
        <v>3141</v>
      </c>
      <c r="AE21">
        <v>3978</v>
      </c>
      <c r="AF21">
        <v>1585</v>
      </c>
      <c r="AG21">
        <v>13399</v>
      </c>
    </row>
    <row r="22" spans="1:33" ht="12.75">
      <c r="A22">
        <f t="shared" si="1"/>
        <v>1936</v>
      </c>
      <c r="B22" s="10" t="s">
        <v>120</v>
      </c>
      <c r="C22" s="9" t="s">
        <v>149</v>
      </c>
      <c r="D22">
        <f>'standard variables'!D22</f>
        <v>928</v>
      </c>
      <c r="E22">
        <v>28</v>
      </c>
      <c r="F22">
        <v>31</v>
      </c>
      <c r="G22">
        <v>267</v>
      </c>
      <c r="H22">
        <v>150</v>
      </c>
      <c r="I22">
        <v>33</v>
      </c>
      <c r="J22">
        <v>76</v>
      </c>
      <c r="K22">
        <v>66</v>
      </c>
      <c r="L22">
        <v>26</v>
      </c>
      <c r="M22">
        <v>251</v>
      </c>
      <c r="N22">
        <f t="shared" si="0"/>
        <v>1364</v>
      </c>
      <c r="O22" s="13">
        <v>38</v>
      </c>
      <c r="P22" s="13">
        <v>39</v>
      </c>
      <c r="Q22" s="13">
        <v>319</v>
      </c>
      <c r="R22" s="13">
        <v>196</v>
      </c>
      <c r="S22" s="13">
        <v>43</v>
      </c>
      <c r="T22" s="13">
        <v>97</v>
      </c>
      <c r="U22" s="13">
        <v>109</v>
      </c>
      <c r="V22" s="13">
        <v>34</v>
      </c>
      <c r="W22" s="13">
        <v>489</v>
      </c>
      <c r="X22" s="12">
        <f>'standard variables'!AL22</f>
        <v>45142</v>
      </c>
      <c r="Y22">
        <v>1757</v>
      </c>
      <c r="Z22">
        <v>1382</v>
      </c>
      <c r="AA22">
        <v>12181</v>
      </c>
      <c r="AB22">
        <v>6131</v>
      </c>
      <c r="AC22">
        <v>1408</v>
      </c>
      <c r="AD22">
        <v>3072</v>
      </c>
      <c r="AE22">
        <v>4033</v>
      </c>
      <c r="AF22">
        <v>1508</v>
      </c>
      <c r="AG22">
        <v>13670</v>
      </c>
    </row>
    <row r="23" spans="1:33" ht="12.75">
      <c r="A23">
        <f t="shared" si="1"/>
        <v>1937</v>
      </c>
      <c r="B23" s="10" t="s">
        <v>120</v>
      </c>
      <c r="C23" s="9" t="s">
        <v>149</v>
      </c>
      <c r="D23">
        <f>'standard variables'!D23</f>
        <v>926</v>
      </c>
      <c r="E23">
        <v>34</v>
      </c>
      <c r="F23">
        <v>33</v>
      </c>
      <c r="G23">
        <v>266</v>
      </c>
      <c r="H23">
        <v>152</v>
      </c>
      <c r="I23">
        <v>32</v>
      </c>
      <c r="J23">
        <v>72</v>
      </c>
      <c r="K23">
        <v>64</v>
      </c>
      <c r="L23">
        <v>28</v>
      </c>
      <c r="M23">
        <v>245</v>
      </c>
      <c r="N23">
        <f t="shared" si="0"/>
        <v>1335</v>
      </c>
      <c r="O23" s="13">
        <v>43</v>
      </c>
      <c r="P23" s="13">
        <v>41</v>
      </c>
      <c r="Q23" s="13">
        <v>317</v>
      </c>
      <c r="R23" s="13">
        <v>195</v>
      </c>
      <c r="S23" s="13">
        <v>38</v>
      </c>
      <c r="T23" s="13">
        <v>85</v>
      </c>
      <c r="U23" s="13">
        <v>104</v>
      </c>
      <c r="V23" s="13">
        <v>35</v>
      </c>
      <c r="W23" s="13">
        <v>477</v>
      </c>
      <c r="X23" s="12">
        <f>'standard variables'!AL23</f>
        <v>45054</v>
      </c>
      <c r="Y23">
        <v>2059</v>
      </c>
      <c r="Z23">
        <v>1595</v>
      </c>
      <c r="AA23">
        <v>12165</v>
      </c>
      <c r="AB23">
        <v>6179</v>
      </c>
      <c r="AC23">
        <v>1299</v>
      </c>
      <c r="AD23">
        <v>2841</v>
      </c>
      <c r="AE23">
        <v>3934</v>
      </c>
      <c r="AF23">
        <v>1638</v>
      </c>
      <c r="AG23">
        <v>13344</v>
      </c>
    </row>
    <row r="24" spans="1:33" ht="12.75">
      <c r="A24">
        <f t="shared" si="1"/>
        <v>1938</v>
      </c>
      <c r="B24" s="10" t="s">
        <v>120</v>
      </c>
      <c r="C24" s="9" t="s">
        <v>149</v>
      </c>
      <c r="D24">
        <f>'standard variables'!D24</f>
        <v>-2</v>
      </c>
      <c r="E24">
        <v>-2</v>
      </c>
      <c r="F24">
        <v>-2</v>
      </c>
      <c r="G24">
        <v>-2</v>
      </c>
      <c r="H24">
        <v>-2</v>
      </c>
      <c r="I24">
        <v>-2</v>
      </c>
      <c r="J24">
        <v>-2</v>
      </c>
      <c r="K24">
        <v>-2</v>
      </c>
      <c r="L24">
        <v>-2</v>
      </c>
      <c r="M24">
        <v>-2</v>
      </c>
      <c r="N24">
        <f t="shared" si="0"/>
        <v>-2</v>
      </c>
      <c r="O24">
        <v>-2</v>
      </c>
      <c r="P24">
        <v>-2</v>
      </c>
      <c r="Q24">
        <v>-2</v>
      </c>
      <c r="R24">
        <v>-2</v>
      </c>
      <c r="S24">
        <v>-2</v>
      </c>
      <c r="T24">
        <v>-2</v>
      </c>
      <c r="U24">
        <v>-2</v>
      </c>
      <c r="V24">
        <v>-2</v>
      </c>
      <c r="W24">
        <v>-2</v>
      </c>
      <c r="X24" s="12">
        <f>'standard variables'!AL24</f>
        <v>-2</v>
      </c>
      <c r="Y24">
        <v>-2</v>
      </c>
      <c r="Z24">
        <v>-2</v>
      </c>
      <c r="AA24">
        <v>-2</v>
      </c>
      <c r="AB24">
        <v>-2</v>
      </c>
      <c r="AC24">
        <v>-2</v>
      </c>
      <c r="AD24">
        <v>-2</v>
      </c>
      <c r="AE24">
        <v>-2</v>
      </c>
      <c r="AF24">
        <v>-2</v>
      </c>
      <c r="AG24">
        <v>-2</v>
      </c>
    </row>
    <row r="25" spans="1:33" ht="12.75">
      <c r="A25">
        <f t="shared" si="1"/>
        <v>1939</v>
      </c>
      <c r="B25" s="10" t="s">
        <v>120</v>
      </c>
      <c r="C25" s="9" t="s">
        <v>149</v>
      </c>
      <c r="D25">
        <f>'standard variables'!D25</f>
        <v>-2</v>
      </c>
      <c r="E25">
        <v>-2</v>
      </c>
      <c r="F25">
        <v>-2</v>
      </c>
      <c r="G25">
        <v>-2</v>
      </c>
      <c r="H25">
        <v>-2</v>
      </c>
      <c r="I25">
        <v>-2</v>
      </c>
      <c r="J25">
        <v>-2</v>
      </c>
      <c r="K25">
        <v>-2</v>
      </c>
      <c r="L25">
        <v>-2</v>
      </c>
      <c r="M25">
        <v>-2</v>
      </c>
      <c r="N25">
        <f t="shared" si="0"/>
        <v>-2</v>
      </c>
      <c r="O25">
        <v>-2</v>
      </c>
      <c r="P25">
        <v>-2</v>
      </c>
      <c r="Q25">
        <v>-2</v>
      </c>
      <c r="R25">
        <v>-2</v>
      </c>
      <c r="S25">
        <v>-2</v>
      </c>
      <c r="T25">
        <v>-2</v>
      </c>
      <c r="U25">
        <v>-2</v>
      </c>
      <c r="V25">
        <v>-2</v>
      </c>
      <c r="W25">
        <v>-2</v>
      </c>
      <c r="X25" s="12">
        <f>'standard variables'!AL25</f>
        <v>-2</v>
      </c>
      <c r="Y25">
        <v>-2</v>
      </c>
      <c r="Z25">
        <v>-2</v>
      </c>
      <c r="AA25">
        <v>-2</v>
      </c>
      <c r="AB25">
        <v>-2</v>
      </c>
      <c r="AC25">
        <v>-2</v>
      </c>
      <c r="AD25">
        <v>-2</v>
      </c>
      <c r="AE25">
        <v>-2</v>
      </c>
      <c r="AF25">
        <v>-2</v>
      </c>
      <c r="AG25">
        <v>-2</v>
      </c>
    </row>
    <row r="26" spans="1:33" ht="12.75">
      <c r="A26">
        <f t="shared" si="1"/>
        <v>1940</v>
      </c>
      <c r="B26" s="10" t="s">
        <v>120</v>
      </c>
      <c r="C26" s="9" t="s">
        <v>149</v>
      </c>
      <c r="D26">
        <f>'standard variables'!D26</f>
        <v>-2</v>
      </c>
      <c r="E26">
        <v>-2</v>
      </c>
      <c r="F26">
        <v>-2</v>
      </c>
      <c r="G26">
        <v>-2</v>
      </c>
      <c r="H26">
        <v>-2</v>
      </c>
      <c r="I26">
        <v>-2</v>
      </c>
      <c r="J26">
        <v>-2</v>
      </c>
      <c r="K26">
        <v>-2</v>
      </c>
      <c r="L26">
        <v>-2</v>
      </c>
      <c r="M26">
        <v>-2</v>
      </c>
      <c r="N26">
        <f t="shared" si="0"/>
        <v>-2</v>
      </c>
      <c r="O26">
        <v>-2</v>
      </c>
      <c r="P26">
        <v>-2</v>
      </c>
      <c r="Q26">
        <v>-2</v>
      </c>
      <c r="R26">
        <v>-2</v>
      </c>
      <c r="S26">
        <v>-2</v>
      </c>
      <c r="T26">
        <v>-2</v>
      </c>
      <c r="U26">
        <v>-2</v>
      </c>
      <c r="V26">
        <v>-2</v>
      </c>
      <c r="W26">
        <v>-2</v>
      </c>
      <c r="X26" s="12">
        <f>'standard variables'!AL26</f>
        <v>-2</v>
      </c>
      <c r="Y26">
        <v>-2</v>
      </c>
      <c r="Z26">
        <v>-2</v>
      </c>
      <c r="AA26">
        <v>-2</v>
      </c>
      <c r="AB26">
        <v>-2</v>
      </c>
      <c r="AC26">
        <v>-2</v>
      </c>
      <c r="AD26">
        <v>-2</v>
      </c>
      <c r="AE26">
        <v>-2</v>
      </c>
      <c r="AF26">
        <v>-2</v>
      </c>
      <c r="AG26">
        <v>-2</v>
      </c>
    </row>
    <row r="27" spans="1:33" ht="12.75">
      <c r="A27">
        <f t="shared" si="1"/>
        <v>1941</v>
      </c>
      <c r="B27" s="10" t="s">
        <v>120</v>
      </c>
      <c r="C27" s="9" t="s">
        <v>149</v>
      </c>
      <c r="D27">
        <f>'standard variables'!D27</f>
        <v>-2</v>
      </c>
      <c r="E27">
        <v>-2</v>
      </c>
      <c r="F27">
        <v>-2</v>
      </c>
      <c r="G27">
        <v>-2</v>
      </c>
      <c r="H27">
        <v>-2</v>
      </c>
      <c r="I27">
        <v>-2</v>
      </c>
      <c r="J27">
        <v>-2</v>
      </c>
      <c r="K27">
        <v>-2</v>
      </c>
      <c r="L27">
        <v>-2</v>
      </c>
      <c r="M27">
        <v>-2</v>
      </c>
      <c r="N27">
        <f t="shared" si="0"/>
        <v>-2</v>
      </c>
      <c r="O27">
        <v>-2</v>
      </c>
      <c r="P27">
        <v>-2</v>
      </c>
      <c r="Q27">
        <v>-2</v>
      </c>
      <c r="R27">
        <v>-2</v>
      </c>
      <c r="S27">
        <v>-2</v>
      </c>
      <c r="T27">
        <v>-2</v>
      </c>
      <c r="U27">
        <v>-2</v>
      </c>
      <c r="V27">
        <v>-2</v>
      </c>
      <c r="W27">
        <v>-2</v>
      </c>
      <c r="X27" s="12">
        <f>'standard variables'!AL27</f>
        <v>-2</v>
      </c>
      <c r="Y27">
        <v>-2</v>
      </c>
      <c r="Z27">
        <v>-2</v>
      </c>
      <c r="AA27">
        <v>-2</v>
      </c>
      <c r="AB27">
        <v>-2</v>
      </c>
      <c r="AC27">
        <v>-2</v>
      </c>
      <c r="AD27">
        <v>-2</v>
      </c>
      <c r="AE27">
        <v>-2</v>
      </c>
      <c r="AF27">
        <v>-2</v>
      </c>
      <c r="AG27">
        <v>-2</v>
      </c>
    </row>
    <row r="28" spans="1:33" ht="12.75">
      <c r="A28">
        <f t="shared" si="1"/>
        <v>1942</v>
      </c>
      <c r="B28" s="10" t="s">
        <v>120</v>
      </c>
      <c r="C28" s="9" t="s">
        <v>149</v>
      </c>
      <c r="D28">
        <f>'standard variables'!D28</f>
        <v>-2</v>
      </c>
      <c r="E28">
        <v>-2</v>
      </c>
      <c r="F28">
        <v>-2</v>
      </c>
      <c r="G28">
        <v>-2</v>
      </c>
      <c r="H28">
        <v>-2</v>
      </c>
      <c r="I28">
        <v>-2</v>
      </c>
      <c r="J28">
        <v>-2</v>
      </c>
      <c r="K28">
        <v>-2</v>
      </c>
      <c r="L28">
        <v>-2</v>
      </c>
      <c r="M28">
        <v>-2</v>
      </c>
      <c r="N28">
        <f t="shared" si="0"/>
        <v>-2</v>
      </c>
      <c r="O28">
        <v>-2</v>
      </c>
      <c r="P28">
        <v>-2</v>
      </c>
      <c r="Q28">
        <v>-2</v>
      </c>
      <c r="R28">
        <v>-2</v>
      </c>
      <c r="S28">
        <v>-2</v>
      </c>
      <c r="T28">
        <v>-2</v>
      </c>
      <c r="U28">
        <v>-2</v>
      </c>
      <c r="V28">
        <v>-2</v>
      </c>
      <c r="W28">
        <v>-2</v>
      </c>
      <c r="X28" s="12">
        <f>'standard variables'!AL28</f>
        <v>-2</v>
      </c>
      <c r="Y28">
        <v>-2</v>
      </c>
      <c r="Z28">
        <v>-2</v>
      </c>
      <c r="AA28">
        <v>-2</v>
      </c>
      <c r="AB28">
        <v>-2</v>
      </c>
      <c r="AC28">
        <v>-2</v>
      </c>
      <c r="AD28">
        <v>-2</v>
      </c>
      <c r="AE28">
        <v>-2</v>
      </c>
      <c r="AF28">
        <v>-2</v>
      </c>
      <c r="AG28">
        <v>-2</v>
      </c>
    </row>
    <row r="29" spans="1:33" ht="12.75">
      <c r="A29">
        <f t="shared" si="1"/>
        <v>1943</v>
      </c>
      <c r="B29" s="10" t="s">
        <v>120</v>
      </c>
      <c r="C29" s="9" t="s">
        <v>149</v>
      </c>
      <c r="D29">
        <f>'standard variables'!D29</f>
        <v>-2</v>
      </c>
      <c r="E29">
        <v>-2</v>
      </c>
      <c r="F29">
        <v>-2</v>
      </c>
      <c r="G29">
        <v>-2</v>
      </c>
      <c r="H29">
        <v>-2</v>
      </c>
      <c r="I29">
        <v>-2</v>
      </c>
      <c r="J29">
        <v>-2</v>
      </c>
      <c r="K29">
        <v>-2</v>
      </c>
      <c r="L29">
        <v>-2</v>
      </c>
      <c r="M29">
        <v>-2</v>
      </c>
      <c r="N29">
        <f t="shared" si="0"/>
        <v>-2</v>
      </c>
      <c r="O29">
        <v>-2</v>
      </c>
      <c r="P29">
        <v>-2</v>
      </c>
      <c r="Q29">
        <v>-2</v>
      </c>
      <c r="R29">
        <v>-2</v>
      </c>
      <c r="S29">
        <v>-2</v>
      </c>
      <c r="T29">
        <v>-2</v>
      </c>
      <c r="U29">
        <v>-2</v>
      </c>
      <c r="V29">
        <v>-2</v>
      </c>
      <c r="W29">
        <v>-2</v>
      </c>
      <c r="X29" s="12">
        <f>'standard variables'!AL29</f>
        <v>-2</v>
      </c>
      <c r="Y29">
        <v>-2</v>
      </c>
      <c r="Z29">
        <v>-2</v>
      </c>
      <c r="AA29">
        <v>-2</v>
      </c>
      <c r="AB29">
        <v>-2</v>
      </c>
      <c r="AC29">
        <v>-2</v>
      </c>
      <c r="AD29">
        <v>-2</v>
      </c>
      <c r="AE29">
        <v>-2</v>
      </c>
      <c r="AF29">
        <v>-2</v>
      </c>
      <c r="AG29">
        <v>-2</v>
      </c>
    </row>
    <row r="30" spans="1:33" ht="12.75">
      <c r="A30">
        <f t="shared" si="1"/>
        <v>1944</v>
      </c>
      <c r="B30" s="10" t="s">
        <v>120</v>
      </c>
      <c r="C30" s="9" t="s">
        <v>149</v>
      </c>
      <c r="D30">
        <f>'standard variables'!D30</f>
        <v>-2</v>
      </c>
      <c r="E30">
        <v>-2</v>
      </c>
      <c r="F30">
        <v>-2</v>
      </c>
      <c r="G30">
        <v>-2</v>
      </c>
      <c r="H30">
        <v>-2</v>
      </c>
      <c r="I30">
        <v>-2</v>
      </c>
      <c r="J30">
        <v>-2</v>
      </c>
      <c r="K30">
        <v>-2</v>
      </c>
      <c r="L30">
        <v>-2</v>
      </c>
      <c r="M30">
        <v>-2</v>
      </c>
      <c r="N30">
        <f t="shared" si="0"/>
        <v>-2</v>
      </c>
      <c r="O30">
        <v>-2</v>
      </c>
      <c r="P30">
        <v>-2</v>
      </c>
      <c r="Q30">
        <v>-2</v>
      </c>
      <c r="R30">
        <v>-2</v>
      </c>
      <c r="S30">
        <v>-2</v>
      </c>
      <c r="T30">
        <v>-2</v>
      </c>
      <c r="U30">
        <v>-2</v>
      </c>
      <c r="V30">
        <v>-2</v>
      </c>
      <c r="W30">
        <v>-2</v>
      </c>
      <c r="X30" s="12">
        <f>'standard variables'!AL30</f>
        <v>-2</v>
      </c>
      <c r="Y30">
        <v>-2</v>
      </c>
      <c r="Z30">
        <v>-2</v>
      </c>
      <c r="AA30">
        <v>-2</v>
      </c>
      <c r="AB30">
        <v>-2</v>
      </c>
      <c r="AC30">
        <v>-2</v>
      </c>
      <c r="AD30">
        <v>-2</v>
      </c>
      <c r="AE30">
        <v>-2</v>
      </c>
      <c r="AF30">
        <v>-2</v>
      </c>
      <c r="AG30">
        <v>-2</v>
      </c>
    </row>
    <row r="31" spans="1:33" ht="12.75">
      <c r="A31">
        <f t="shared" si="1"/>
        <v>1945</v>
      </c>
      <c r="B31" s="10" t="s">
        <v>120</v>
      </c>
      <c r="C31" s="9" t="s">
        <v>149</v>
      </c>
      <c r="D31">
        <f>'standard variables'!D31</f>
        <v>558</v>
      </c>
      <c r="E31">
        <v>14</v>
      </c>
      <c r="F31">
        <v>29</v>
      </c>
      <c r="G31">
        <v>145</v>
      </c>
      <c r="H31">
        <v>121</v>
      </c>
      <c r="I31">
        <v>31</v>
      </c>
      <c r="J31">
        <v>71</v>
      </c>
      <c r="K31">
        <v>23</v>
      </c>
      <c r="L31">
        <v>19</v>
      </c>
      <c r="M31">
        <v>105</v>
      </c>
      <c r="N31">
        <f t="shared" si="0"/>
        <v>-2</v>
      </c>
      <c r="O31">
        <v>-2</v>
      </c>
      <c r="P31">
        <v>-2</v>
      </c>
      <c r="Q31">
        <v>-2</v>
      </c>
      <c r="R31">
        <v>-2</v>
      </c>
      <c r="S31">
        <v>-2</v>
      </c>
      <c r="T31">
        <v>-2</v>
      </c>
      <c r="U31">
        <v>-2</v>
      </c>
      <c r="V31">
        <v>-2</v>
      </c>
      <c r="W31">
        <v>-2</v>
      </c>
      <c r="X31" s="12">
        <f>'standard variables'!AL31</f>
        <v>36181</v>
      </c>
      <c r="Y31">
        <v>1120</v>
      </c>
      <c r="Z31">
        <v>1697</v>
      </c>
      <c r="AA31">
        <v>7884</v>
      </c>
      <c r="AB31">
        <v>8052</v>
      </c>
      <c r="AC31">
        <v>1938</v>
      </c>
      <c r="AD31">
        <v>4288</v>
      </c>
      <c r="AE31">
        <v>1769</v>
      </c>
      <c r="AF31">
        <v>1325</v>
      </c>
      <c r="AG31">
        <v>8108</v>
      </c>
    </row>
    <row r="32" spans="1:33" ht="12.75">
      <c r="A32">
        <f t="shared" si="1"/>
        <v>1946</v>
      </c>
      <c r="B32" s="10" t="s">
        <v>120</v>
      </c>
      <c r="C32" s="9" t="s">
        <v>149</v>
      </c>
      <c r="D32">
        <f>'standard variables'!D32</f>
        <v>814</v>
      </c>
      <c r="E32">
        <v>22</v>
      </c>
      <c r="F32">
        <v>53</v>
      </c>
      <c r="G32">
        <v>193</v>
      </c>
      <c r="H32">
        <v>172</v>
      </c>
      <c r="I32">
        <v>40</v>
      </c>
      <c r="J32">
        <v>102</v>
      </c>
      <c r="K32">
        <v>55</v>
      </c>
      <c r="L32">
        <v>27</v>
      </c>
      <c r="M32">
        <v>150</v>
      </c>
      <c r="N32">
        <f t="shared" si="0"/>
        <v>-2</v>
      </c>
      <c r="O32">
        <v>-2</v>
      </c>
      <c r="P32">
        <v>-2</v>
      </c>
      <c r="Q32">
        <v>-2</v>
      </c>
      <c r="R32">
        <v>-2</v>
      </c>
      <c r="S32">
        <v>-2</v>
      </c>
      <c r="T32">
        <v>-2</v>
      </c>
      <c r="U32">
        <v>-2</v>
      </c>
      <c r="V32">
        <v>-2</v>
      </c>
      <c r="W32">
        <v>-2</v>
      </c>
      <c r="X32" s="12">
        <f>'standard variables'!AL32</f>
        <v>53346</v>
      </c>
      <c r="Y32">
        <v>1512</v>
      </c>
      <c r="Z32">
        <v>3092</v>
      </c>
      <c r="AA32">
        <v>10226</v>
      </c>
      <c r="AB32">
        <v>10479</v>
      </c>
      <c r="AC32">
        <v>2942</v>
      </c>
      <c r="AD32">
        <v>6413</v>
      </c>
      <c r="AE32">
        <v>4712</v>
      </c>
      <c r="AF32">
        <v>1938</v>
      </c>
      <c r="AG32">
        <v>12032</v>
      </c>
    </row>
    <row r="33" spans="1:33" ht="12.75">
      <c r="A33">
        <f t="shared" si="1"/>
        <v>1947</v>
      </c>
      <c r="B33" s="10" t="s">
        <v>120</v>
      </c>
      <c r="C33" s="9" t="s">
        <v>149</v>
      </c>
      <c r="D33">
        <f>'standard variables'!D33</f>
        <v>894</v>
      </c>
      <c r="E33">
        <v>26</v>
      </c>
      <c r="F33">
        <v>35</v>
      </c>
      <c r="G33">
        <v>219</v>
      </c>
      <c r="H33">
        <v>166</v>
      </c>
      <c r="I33">
        <v>49</v>
      </c>
      <c r="J33">
        <v>110</v>
      </c>
      <c r="K33">
        <v>60</v>
      </c>
      <c r="L33">
        <v>25</v>
      </c>
      <c r="M33">
        <v>204</v>
      </c>
      <c r="N33">
        <f t="shared" si="0"/>
        <v>-2</v>
      </c>
      <c r="O33">
        <v>-2</v>
      </c>
      <c r="P33">
        <v>-2</v>
      </c>
      <c r="Q33">
        <v>-2</v>
      </c>
      <c r="R33">
        <v>-2</v>
      </c>
      <c r="S33">
        <v>-2</v>
      </c>
      <c r="T33">
        <v>-2</v>
      </c>
      <c r="U33">
        <v>-2</v>
      </c>
      <c r="V33">
        <v>-2</v>
      </c>
      <c r="W33">
        <v>-2</v>
      </c>
      <c r="X33" s="12">
        <f>'standard variables'!AL33</f>
        <v>57920</v>
      </c>
      <c r="Y33">
        <v>1649</v>
      </c>
      <c r="Z33">
        <v>1973</v>
      </c>
      <c r="AA33">
        <v>11586</v>
      </c>
      <c r="AB33">
        <v>9085</v>
      </c>
      <c r="AC33">
        <v>3086</v>
      </c>
      <c r="AD33">
        <v>7143</v>
      </c>
      <c r="AE33">
        <v>5292</v>
      </c>
      <c r="AF33">
        <v>1728</v>
      </c>
      <c r="AG33">
        <v>16378</v>
      </c>
    </row>
    <row r="34" spans="1:33" ht="12.75">
      <c r="A34">
        <f t="shared" si="1"/>
        <v>1948</v>
      </c>
      <c r="B34" s="10" t="s">
        <v>120</v>
      </c>
      <c r="C34" s="9" t="s">
        <v>149</v>
      </c>
      <c r="D34">
        <f>'standard variables'!D34</f>
        <v>1035</v>
      </c>
      <c r="E34">
        <v>29</v>
      </c>
      <c r="F34">
        <v>50</v>
      </c>
      <c r="G34">
        <v>227</v>
      </c>
      <c r="H34">
        <v>192</v>
      </c>
      <c r="I34">
        <v>57</v>
      </c>
      <c r="J34">
        <v>113</v>
      </c>
      <c r="K34">
        <v>66</v>
      </c>
      <c r="L34">
        <v>29</v>
      </c>
      <c r="M34">
        <v>272</v>
      </c>
      <c r="N34">
        <f t="shared" si="0"/>
        <v>-2</v>
      </c>
      <c r="O34">
        <v>-2</v>
      </c>
      <c r="P34">
        <v>-2</v>
      </c>
      <c r="Q34">
        <v>-2</v>
      </c>
      <c r="R34">
        <v>-2</v>
      </c>
      <c r="S34">
        <v>-2</v>
      </c>
      <c r="T34">
        <v>-2</v>
      </c>
      <c r="U34">
        <v>-2</v>
      </c>
      <c r="V34">
        <v>-2</v>
      </c>
      <c r="W34">
        <v>-2</v>
      </c>
      <c r="X34" s="12">
        <f>'standard variables'!AL34</f>
        <v>62627</v>
      </c>
      <c r="Y34">
        <v>1590</v>
      </c>
      <c r="Z34">
        <v>2497</v>
      </c>
      <c r="AA34">
        <v>11879</v>
      </c>
      <c r="AB34">
        <v>10062</v>
      </c>
      <c r="AC34">
        <v>3417</v>
      </c>
      <c r="AD34">
        <v>6479</v>
      </c>
      <c r="AE34">
        <v>4792</v>
      </c>
      <c r="AF34">
        <v>1816</v>
      </c>
      <c r="AG34">
        <v>20095</v>
      </c>
    </row>
    <row r="35" spans="1:33" ht="12.75">
      <c r="A35">
        <f t="shared" si="1"/>
        <v>1949</v>
      </c>
      <c r="B35" s="10" t="s">
        <v>120</v>
      </c>
      <c r="C35" s="9" t="s">
        <v>149</v>
      </c>
      <c r="D35">
        <f>'standard variables'!D35</f>
        <v>1054</v>
      </c>
      <c r="E35">
        <v>30</v>
      </c>
      <c r="F35">
        <v>54</v>
      </c>
      <c r="G35">
        <v>230</v>
      </c>
      <c r="H35">
        <v>192</v>
      </c>
      <c r="I35">
        <v>59</v>
      </c>
      <c r="J35">
        <v>126</v>
      </c>
      <c r="K35">
        <v>65</v>
      </c>
      <c r="L35">
        <v>28</v>
      </c>
      <c r="M35">
        <v>270</v>
      </c>
      <c r="N35">
        <f t="shared" si="0"/>
        <v>-2</v>
      </c>
      <c r="O35">
        <v>-2</v>
      </c>
      <c r="P35">
        <v>-2</v>
      </c>
      <c r="Q35">
        <v>-2</v>
      </c>
      <c r="R35">
        <v>-2</v>
      </c>
      <c r="S35">
        <v>-2</v>
      </c>
      <c r="T35">
        <v>-2</v>
      </c>
      <c r="U35">
        <v>-2</v>
      </c>
      <c r="V35">
        <v>-2</v>
      </c>
      <c r="W35">
        <v>-2</v>
      </c>
      <c r="X35" s="12">
        <f>'standard variables'!AL35</f>
        <v>60387</v>
      </c>
      <c r="Y35">
        <v>1646</v>
      </c>
      <c r="Z35">
        <v>2643</v>
      </c>
      <c r="AA35">
        <v>10918</v>
      </c>
      <c r="AB35">
        <v>9844</v>
      </c>
      <c r="AC35">
        <v>3368</v>
      </c>
      <c r="AD35">
        <v>6778</v>
      </c>
      <c r="AE35">
        <v>4808</v>
      </c>
      <c r="AF35">
        <v>1695</v>
      </c>
      <c r="AG35">
        <v>18687</v>
      </c>
    </row>
    <row r="36" spans="1:33" ht="12.75">
      <c r="A36">
        <f t="shared" si="1"/>
        <v>1950</v>
      </c>
      <c r="B36" s="10" t="s">
        <v>120</v>
      </c>
      <c r="C36" s="9" t="s">
        <v>149</v>
      </c>
      <c r="D36">
        <f>'standard variables'!D36</f>
        <v>1111</v>
      </c>
      <c r="E36">
        <v>33</v>
      </c>
      <c r="F36">
        <v>55</v>
      </c>
      <c r="G36">
        <v>248</v>
      </c>
      <c r="H36">
        <v>205</v>
      </c>
      <c r="I36">
        <v>61</v>
      </c>
      <c r="J36">
        <v>133</v>
      </c>
      <c r="K36">
        <v>71</v>
      </c>
      <c r="L36">
        <v>32</v>
      </c>
      <c r="M36">
        <v>273</v>
      </c>
      <c r="N36">
        <f t="shared" si="0"/>
        <v>-2</v>
      </c>
      <c r="O36">
        <v>-2</v>
      </c>
      <c r="P36">
        <v>-2</v>
      </c>
      <c r="Q36">
        <v>-2</v>
      </c>
      <c r="R36">
        <v>-2</v>
      </c>
      <c r="S36">
        <v>-2</v>
      </c>
      <c r="T36">
        <v>-2</v>
      </c>
      <c r="U36">
        <v>-2</v>
      </c>
      <c r="V36">
        <v>-2</v>
      </c>
      <c r="W36">
        <v>-2</v>
      </c>
      <c r="X36" s="12">
        <f>'standard variables'!AL36</f>
        <v>63604</v>
      </c>
      <c r="Y36">
        <v>1750</v>
      </c>
      <c r="Z36">
        <v>2868</v>
      </c>
      <c r="AA36">
        <v>11588</v>
      </c>
      <c r="AB36">
        <v>10250</v>
      </c>
      <c r="AC36">
        <v>3328</v>
      </c>
      <c r="AD36">
        <v>7049</v>
      </c>
      <c r="AE36">
        <v>5064</v>
      </c>
      <c r="AF36">
        <v>1931</v>
      </c>
      <c r="AG36">
        <v>19736</v>
      </c>
    </row>
    <row r="37" spans="1:33" ht="12.75">
      <c r="A37">
        <f t="shared" si="1"/>
        <v>1951</v>
      </c>
      <c r="B37" s="10" t="s">
        <v>120</v>
      </c>
      <c r="C37" s="9" t="s">
        <v>149</v>
      </c>
      <c r="D37">
        <f>'standard variables'!D37</f>
        <v>1117</v>
      </c>
      <c r="E37">
        <v>34</v>
      </c>
      <c r="F37">
        <v>53</v>
      </c>
      <c r="G37">
        <v>258</v>
      </c>
      <c r="H37">
        <v>206</v>
      </c>
      <c r="I37">
        <v>61</v>
      </c>
      <c r="J37">
        <v>135</v>
      </c>
      <c r="K37">
        <v>70</v>
      </c>
      <c r="L37">
        <v>38</v>
      </c>
      <c r="M37">
        <v>262</v>
      </c>
      <c r="N37">
        <f t="shared" si="0"/>
        <v>-2</v>
      </c>
      <c r="O37">
        <v>-2</v>
      </c>
      <c r="P37">
        <v>-2</v>
      </c>
      <c r="Q37">
        <v>-2</v>
      </c>
      <c r="R37">
        <v>-2</v>
      </c>
      <c r="S37">
        <v>-2</v>
      </c>
      <c r="T37">
        <v>-2</v>
      </c>
      <c r="U37">
        <v>-2</v>
      </c>
      <c r="V37">
        <v>-2</v>
      </c>
      <c r="W37">
        <v>-2</v>
      </c>
      <c r="X37" s="12">
        <f>'standard variables'!AL37</f>
        <v>62734</v>
      </c>
      <c r="Y37">
        <v>2140</v>
      </c>
      <c r="Z37">
        <v>2823</v>
      </c>
      <c r="AA37">
        <v>12873</v>
      </c>
      <c r="AB37">
        <v>10940</v>
      </c>
      <c r="AC37">
        <v>3474</v>
      </c>
      <c r="AD37">
        <v>7436</v>
      </c>
      <c r="AE37">
        <v>5301</v>
      </c>
      <c r="AF37">
        <v>1642</v>
      </c>
      <c r="AG37">
        <v>15105</v>
      </c>
    </row>
    <row r="38" spans="1:33" ht="12.75">
      <c r="A38">
        <f t="shared" si="1"/>
        <v>1952</v>
      </c>
      <c r="B38" s="10" t="s">
        <v>120</v>
      </c>
      <c r="C38" s="9" t="s">
        <v>149</v>
      </c>
      <c r="D38">
        <f>'standard variables'!D38</f>
        <v>1167</v>
      </c>
      <c r="E38">
        <v>39</v>
      </c>
      <c r="F38">
        <v>52</v>
      </c>
      <c r="G38">
        <v>266</v>
      </c>
      <c r="H38">
        <v>212</v>
      </c>
      <c r="I38">
        <v>60</v>
      </c>
      <c r="J38">
        <v>138</v>
      </c>
      <c r="K38">
        <v>70</v>
      </c>
      <c r="L38">
        <v>40</v>
      </c>
      <c r="M38">
        <v>290</v>
      </c>
      <c r="N38">
        <f t="shared" si="0"/>
        <v>1803</v>
      </c>
      <c r="O38">
        <v>51</v>
      </c>
      <c r="P38">
        <v>87</v>
      </c>
      <c r="Q38">
        <v>378</v>
      </c>
      <c r="R38">
        <v>289</v>
      </c>
      <c r="S38">
        <v>80</v>
      </c>
      <c r="T38">
        <v>220</v>
      </c>
      <c r="U38">
        <v>124</v>
      </c>
      <c r="V38">
        <v>53</v>
      </c>
      <c r="W38">
        <v>521</v>
      </c>
      <c r="X38" s="12">
        <f>'standard variables'!AL38</f>
        <v>66354</v>
      </c>
      <c r="Y38">
        <v>2568</v>
      </c>
      <c r="Z38">
        <v>2913</v>
      </c>
      <c r="AA38">
        <v>14254</v>
      </c>
      <c r="AB38">
        <v>11080</v>
      </c>
      <c r="AC38">
        <v>3288</v>
      </c>
      <c r="AD38">
        <v>7361</v>
      </c>
      <c r="AE38">
        <v>5448</v>
      </c>
      <c r="AF38">
        <v>2656</v>
      </c>
      <c r="AG38">
        <v>16786</v>
      </c>
    </row>
    <row r="39" spans="1:33" ht="12.75">
      <c r="A39">
        <f t="shared" si="1"/>
        <v>1953</v>
      </c>
      <c r="B39" s="10" t="s">
        <v>120</v>
      </c>
      <c r="C39" s="9" t="s">
        <v>149</v>
      </c>
      <c r="D39">
        <f>'standard variables'!D39</f>
        <v>1202</v>
      </c>
      <c r="E39">
        <v>41</v>
      </c>
      <c r="F39">
        <v>52</v>
      </c>
      <c r="G39">
        <v>270</v>
      </c>
      <c r="H39">
        <v>216</v>
      </c>
      <c r="I39">
        <v>61</v>
      </c>
      <c r="J39">
        <v>144</v>
      </c>
      <c r="K39">
        <v>82</v>
      </c>
      <c r="L39">
        <v>41</v>
      </c>
      <c r="M39">
        <v>285</v>
      </c>
      <c r="N39">
        <f t="shared" si="0"/>
        <v>1862</v>
      </c>
      <c r="O39">
        <v>55</v>
      </c>
      <c r="P39">
        <v>90</v>
      </c>
      <c r="Q39">
        <v>390</v>
      </c>
      <c r="R39">
        <v>303</v>
      </c>
      <c r="S39">
        <v>82</v>
      </c>
      <c r="T39">
        <v>224</v>
      </c>
      <c r="U39">
        <v>140</v>
      </c>
      <c r="V39">
        <v>56</v>
      </c>
      <c r="W39">
        <v>522</v>
      </c>
      <c r="X39" s="12">
        <f>'standard variables'!AL39</f>
        <v>65950</v>
      </c>
      <c r="Y39">
        <v>2608</v>
      </c>
      <c r="Z39">
        <v>2872</v>
      </c>
      <c r="AA39">
        <v>14215</v>
      </c>
      <c r="AB39">
        <v>11164</v>
      </c>
      <c r="AC39">
        <v>3277</v>
      </c>
      <c r="AD39">
        <v>7331</v>
      </c>
      <c r="AE39">
        <v>5760</v>
      </c>
      <c r="AF39">
        <v>2728</v>
      </c>
      <c r="AG39">
        <v>15995</v>
      </c>
    </row>
    <row r="40" spans="1:33" ht="12.75">
      <c r="A40">
        <f t="shared" si="1"/>
        <v>1954</v>
      </c>
      <c r="B40" s="10" t="s">
        <v>120</v>
      </c>
      <c r="C40" s="9" t="s">
        <v>149</v>
      </c>
      <c r="D40">
        <f>'standard variables'!D40</f>
        <v>1247</v>
      </c>
      <c r="E40">
        <v>52</v>
      </c>
      <c r="F40">
        <v>57</v>
      </c>
      <c r="G40">
        <v>331</v>
      </c>
      <c r="H40">
        <v>217</v>
      </c>
      <c r="I40">
        <v>64</v>
      </c>
      <c r="J40">
        <v>142</v>
      </c>
      <c r="K40">
        <v>88</v>
      </c>
      <c r="L40">
        <v>43</v>
      </c>
      <c r="M40">
        <v>253</v>
      </c>
      <c r="N40">
        <f t="shared" si="0"/>
        <v>1917</v>
      </c>
      <c r="O40">
        <v>69</v>
      </c>
      <c r="P40">
        <v>94</v>
      </c>
      <c r="Q40">
        <v>468</v>
      </c>
      <c r="R40">
        <v>309</v>
      </c>
      <c r="S40">
        <v>91</v>
      </c>
      <c r="T40">
        <v>226</v>
      </c>
      <c r="U40">
        <v>140</v>
      </c>
      <c r="V40">
        <v>55</v>
      </c>
      <c r="W40">
        <v>465</v>
      </c>
      <c r="X40" s="12">
        <f>'standard variables'!AL40</f>
        <v>65781</v>
      </c>
      <c r="Y40">
        <v>3243</v>
      </c>
      <c r="Z40">
        <v>2951</v>
      </c>
      <c r="AA40">
        <v>15951</v>
      </c>
      <c r="AB40">
        <v>11308</v>
      </c>
      <c r="AC40">
        <v>3293</v>
      </c>
      <c r="AD40">
        <v>7146</v>
      </c>
      <c r="AE40">
        <v>5632</v>
      </c>
      <c r="AF40">
        <v>2622</v>
      </c>
      <c r="AG40">
        <v>13585</v>
      </c>
    </row>
    <row r="41" spans="1:33" ht="12.75">
      <c r="A41">
        <f t="shared" si="1"/>
        <v>1955</v>
      </c>
      <c r="B41" s="10" t="s">
        <v>120</v>
      </c>
      <c r="C41" s="9" t="s">
        <v>149</v>
      </c>
      <c r="D41">
        <f>'standard variables'!D41</f>
        <v>1289</v>
      </c>
      <c r="E41">
        <v>57</v>
      </c>
      <c r="F41">
        <v>59</v>
      </c>
      <c r="G41">
        <v>355</v>
      </c>
      <c r="H41">
        <v>229</v>
      </c>
      <c r="I41">
        <v>70</v>
      </c>
      <c r="J41">
        <v>142</v>
      </c>
      <c r="K41">
        <v>90</v>
      </c>
      <c r="L41">
        <v>44</v>
      </c>
      <c r="M41">
        <v>243</v>
      </c>
      <c r="N41">
        <f t="shared" si="0"/>
        <v>1968</v>
      </c>
      <c r="O41">
        <v>80</v>
      </c>
      <c r="P41">
        <v>96</v>
      </c>
      <c r="Q41">
        <v>503</v>
      </c>
      <c r="R41">
        <v>329</v>
      </c>
      <c r="S41">
        <v>95</v>
      </c>
      <c r="T41">
        <v>220</v>
      </c>
      <c r="U41">
        <v>143</v>
      </c>
      <c r="V41">
        <v>60</v>
      </c>
      <c r="W41">
        <v>442</v>
      </c>
      <c r="X41" s="12">
        <f>'standard variables'!AL41</f>
        <v>66989</v>
      </c>
      <c r="Y41">
        <v>3811</v>
      </c>
      <c r="Z41">
        <v>3023</v>
      </c>
      <c r="AA41">
        <v>16681</v>
      </c>
      <c r="AB41">
        <v>11667</v>
      </c>
      <c r="AC41">
        <v>3369</v>
      </c>
      <c r="AD41">
        <v>6946</v>
      </c>
      <c r="AE41">
        <v>5610</v>
      </c>
      <c r="AF41">
        <v>2757</v>
      </c>
      <c r="AG41">
        <v>13125</v>
      </c>
    </row>
    <row r="42" spans="1:33" ht="12.75">
      <c r="A42">
        <f t="shared" si="1"/>
        <v>1956</v>
      </c>
      <c r="B42" s="10" t="s">
        <v>120</v>
      </c>
      <c r="C42" s="9" t="s">
        <v>149</v>
      </c>
      <c r="D42">
        <f>'standard variables'!D42</f>
        <v>1335</v>
      </c>
      <c r="E42">
        <v>72</v>
      </c>
      <c r="F42">
        <v>56</v>
      </c>
      <c r="G42">
        <v>365</v>
      </c>
      <c r="H42">
        <v>235</v>
      </c>
      <c r="I42">
        <v>72</v>
      </c>
      <c r="J42">
        <v>143</v>
      </c>
      <c r="K42">
        <v>92</v>
      </c>
      <c r="L42">
        <v>45</v>
      </c>
      <c r="M42">
        <v>245</v>
      </c>
      <c r="N42">
        <f t="shared" si="0"/>
        <v>2022</v>
      </c>
      <c r="O42">
        <v>100</v>
      </c>
      <c r="P42">
        <v>90</v>
      </c>
      <c r="Q42">
        <v>521</v>
      </c>
      <c r="R42">
        <v>334</v>
      </c>
      <c r="S42">
        <v>97</v>
      </c>
      <c r="T42">
        <v>227</v>
      </c>
      <c r="U42">
        <v>144</v>
      </c>
      <c r="V42">
        <v>62</v>
      </c>
      <c r="W42">
        <v>447</v>
      </c>
      <c r="X42" s="12">
        <f>'standard variables'!AL42</f>
        <v>66989</v>
      </c>
      <c r="Y42">
        <v>4379</v>
      </c>
      <c r="Z42">
        <v>2849</v>
      </c>
      <c r="AA42">
        <v>16984</v>
      </c>
      <c r="AB42">
        <v>10884</v>
      </c>
      <c r="AC42">
        <v>3340</v>
      </c>
      <c r="AD42">
        <v>7014</v>
      </c>
      <c r="AE42">
        <v>5569</v>
      </c>
      <c r="AF42">
        <v>2874</v>
      </c>
      <c r="AG42">
        <v>13096</v>
      </c>
    </row>
    <row r="43" spans="1:33" ht="12.75">
      <c r="A43">
        <f t="shared" si="1"/>
        <v>1957</v>
      </c>
      <c r="B43" s="10" t="s">
        <v>120</v>
      </c>
      <c r="C43" s="9" t="s">
        <v>149</v>
      </c>
      <c r="D43">
        <f>'standard variables'!D43</f>
        <v>1372</v>
      </c>
      <c r="E43">
        <v>81</v>
      </c>
      <c r="F43">
        <v>63</v>
      </c>
      <c r="G43">
        <v>371</v>
      </c>
      <c r="H43">
        <v>240</v>
      </c>
      <c r="I43">
        <v>73</v>
      </c>
      <c r="J43">
        <v>146</v>
      </c>
      <c r="K43">
        <v>91</v>
      </c>
      <c r="L43">
        <v>46</v>
      </c>
      <c r="M43">
        <v>261</v>
      </c>
      <c r="N43">
        <f t="shared" si="0"/>
        <v>2081</v>
      </c>
      <c r="O43">
        <v>110</v>
      </c>
      <c r="P43">
        <v>99</v>
      </c>
      <c r="Q43">
        <v>528</v>
      </c>
      <c r="R43">
        <v>340</v>
      </c>
      <c r="S43">
        <v>105</v>
      </c>
      <c r="T43">
        <v>234</v>
      </c>
      <c r="U43">
        <v>148</v>
      </c>
      <c r="V43">
        <v>66</v>
      </c>
      <c r="W43">
        <v>451</v>
      </c>
      <c r="X43" s="12">
        <f>'standard variables'!AL43</f>
        <v>68505</v>
      </c>
      <c r="Y43">
        <v>4632</v>
      </c>
      <c r="Z43">
        <v>3009</v>
      </c>
      <c r="AA43">
        <v>17678</v>
      </c>
      <c r="AB43">
        <v>10983</v>
      </c>
      <c r="AC43">
        <v>3467</v>
      </c>
      <c r="AD43">
        <v>7116</v>
      </c>
      <c r="AE43">
        <v>5626</v>
      </c>
      <c r="AF43">
        <v>3070</v>
      </c>
      <c r="AG43">
        <v>12924</v>
      </c>
    </row>
    <row r="44" spans="1:33" ht="12.75">
      <c r="A44">
        <f t="shared" si="1"/>
        <v>1958</v>
      </c>
      <c r="B44" s="10" t="s">
        <v>120</v>
      </c>
      <c r="C44" s="9" t="s">
        <v>149</v>
      </c>
      <c r="D44">
        <f>'standard variables'!D44</f>
        <v>1419</v>
      </c>
      <c r="E44">
        <v>84</v>
      </c>
      <c r="F44">
        <v>65</v>
      </c>
      <c r="G44">
        <v>395</v>
      </c>
      <c r="H44">
        <v>246</v>
      </c>
      <c r="I44">
        <v>71</v>
      </c>
      <c r="J44">
        <v>152</v>
      </c>
      <c r="K44">
        <v>92</v>
      </c>
      <c r="L44">
        <v>50</v>
      </c>
      <c r="M44">
        <v>264</v>
      </c>
      <c r="N44">
        <f t="shared" si="0"/>
        <v>2148</v>
      </c>
      <c r="O44">
        <v>113</v>
      </c>
      <c r="P44">
        <v>109</v>
      </c>
      <c r="Q44">
        <v>551</v>
      </c>
      <c r="R44">
        <v>354</v>
      </c>
      <c r="S44">
        <v>102</v>
      </c>
      <c r="T44">
        <v>248</v>
      </c>
      <c r="U44">
        <v>149</v>
      </c>
      <c r="V44">
        <v>74</v>
      </c>
      <c r="W44">
        <v>448</v>
      </c>
      <c r="X44" s="12">
        <f>'standard variables'!AL44</f>
        <v>72246</v>
      </c>
      <c r="Y44">
        <v>4793</v>
      </c>
      <c r="Z44">
        <v>3276</v>
      </c>
      <c r="AA44">
        <v>18503</v>
      </c>
      <c r="AB44">
        <v>11874</v>
      </c>
      <c r="AC44">
        <v>3347</v>
      </c>
      <c r="AD44">
        <v>7813</v>
      </c>
      <c r="AE44">
        <v>5840</v>
      </c>
      <c r="AF44">
        <v>3273</v>
      </c>
      <c r="AG44">
        <v>13527</v>
      </c>
    </row>
    <row r="45" spans="1:33" ht="12.75">
      <c r="A45">
        <f t="shared" si="1"/>
        <v>1959</v>
      </c>
      <c r="B45" s="10" t="s">
        <v>120</v>
      </c>
      <c r="C45" s="9" t="s">
        <v>149</v>
      </c>
      <c r="D45">
        <f>'standard variables'!D45</f>
        <v>1444</v>
      </c>
      <c r="E45">
        <v>89</v>
      </c>
      <c r="F45">
        <v>64</v>
      </c>
      <c r="G45">
        <v>411</v>
      </c>
      <c r="H45">
        <v>249</v>
      </c>
      <c r="I45">
        <v>72</v>
      </c>
      <c r="J45">
        <v>150</v>
      </c>
      <c r="K45">
        <v>91</v>
      </c>
      <c r="L45">
        <v>51</v>
      </c>
      <c r="M45">
        <v>267</v>
      </c>
      <c r="N45">
        <f t="shared" si="0"/>
        <v>2210</v>
      </c>
      <c r="O45">
        <v>118</v>
      </c>
      <c r="P45">
        <v>105</v>
      </c>
      <c r="Q45">
        <v>577</v>
      </c>
      <c r="R45">
        <v>363</v>
      </c>
      <c r="S45">
        <v>109</v>
      </c>
      <c r="T45">
        <v>253</v>
      </c>
      <c r="U45">
        <v>155</v>
      </c>
      <c r="V45">
        <v>74</v>
      </c>
      <c r="W45">
        <v>456</v>
      </c>
      <c r="X45" s="12">
        <f>'standard variables'!AL45</f>
        <v>74739</v>
      </c>
      <c r="Y45">
        <v>4844</v>
      </c>
      <c r="Z45">
        <v>3335</v>
      </c>
      <c r="AA45">
        <v>19605</v>
      </c>
      <c r="AB45">
        <v>11897</v>
      </c>
      <c r="AC45">
        <v>3741</v>
      </c>
      <c r="AD45">
        <v>7915</v>
      </c>
      <c r="AE45">
        <v>6022</v>
      </c>
      <c r="AF45">
        <v>3226</v>
      </c>
      <c r="AG45">
        <v>14154</v>
      </c>
    </row>
    <row r="46" spans="1:33" ht="12.75">
      <c r="A46">
        <f t="shared" si="1"/>
        <v>1960</v>
      </c>
      <c r="B46" s="10" t="s">
        <v>120</v>
      </c>
      <c r="C46" s="9" t="s">
        <v>149</v>
      </c>
      <c r="D46">
        <f>'standard variables'!D46</f>
        <v>1487</v>
      </c>
      <c r="E46">
        <v>97</v>
      </c>
      <c r="F46">
        <v>67</v>
      </c>
      <c r="G46">
        <v>426</v>
      </c>
      <c r="H46">
        <v>251</v>
      </c>
      <c r="I46">
        <v>75</v>
      </c>
      <c r="J46">
        <v>151</v>
      </c>
      <c r="K46">
        <v>93</v>
      </c>
      <c r="L46">
        <v>53</v>
      </c>
      <c r="M46">
        <v>274</v>
      </c>
      <c r="N46">
        <f t="shared" si="0"/>
        <v>2303</v>
      </c>
      <c r="O46">
        <v>133</v>
      </c>
      <c r="P46">
        <v>112</v>
      </c>
      <c r="Q46">
        <v>604</v>
      </c>
      <c r="R46">
        <v>367</v>
      </c>
      <c r="S46">
        <v>116</v>
      </c>
      <c r="T46">
        <v>259</v>
      </c>
      <c r="U46">
        <v>159</v>
      </c>
      <c r="V46">
        <v>78</v>
      </c>
      <c r="W46">
        <v>475</v>
      </c>
      <c r="X46" s="12">
        <f>'standard variables'!AL46</f>
        <v>79725</v>
      </c>
      <c r="Y46">
        <v>5619</v>
      </c>
      <c r="Z46">
        <v>3570</v>
      </c>
      <c r="AA46">
        <v>21331</v>
      </c>
      <c r="AB46">
        <v>12185</v>
      </c>
      <c r="AC46">
        <v>4031</v>
      </c>
      <c r="AD46">
        <v>8413</v>
      </c>
      <c r="AE46">
        <v>6274</v>
      </c>
      <c r="AF46">
        <v>3406</v>
      </c>
      <c r="AG46">
        <v>14896</v>
      </c>
    </row>
    <row r="47" spans="1:33" ht="12.75">
      <c r="A47">
        <f t="shared" si="1"/>
        <v>1961</v>
      </c>
      <c r="B47" s="10" t="s">
        <v>120</v>
      </c>
      <c r="C47" s="9" t="s">
        <v>149</v>
      </c>
      <c r="D47">
        <f>'standard variables'!D47</f>
        <v>1516</v>
      </c>
      <c r="E47">
        <v>100</v>
      </c>
      <c r="F47">
        <v>68</v>
      </c>
      <c r="G47">
        <v>430</v>
      </c>
      <c r="H47">
        <v>255</v>
      </c>
      <c r="I47">
        <v>76</v>
      </c>
      <c r="J47">
        <v>162</v>
      </c>
      <c r="K47">
        <v>91</v>
      </c>
      <c r="L47">
        <v>54</v>
      </c>
      <c r="M47">
        <v>280</v>
      </c>
      <c r="N47">
        <f t="shared" si="0"/>
        <v>2397</v>
      </c>
      <c r="O47">
        <v>137</v>
      </c>
      <c r="P47">
        <v>122</v>
      </c>
      <c r="Q47">
        <v>618</v>
      </c>
      <c r="R47">
        <v>382</v>
      </c>
      <c r="S47">
        <v>117</v>
      </c>
      <c r="T47">
        <v>285</v>
      </c>
      <c r="U47">
        <v>159</v>
      </c>
      <c r="V47">
        <v>78</v>
      </c>
      <c r="W47">
        <v>499</v>
      </c>
      <c r="X47" s="12">
        <f>'standard variables'!AL47</f>
        <v>83964</v>
      </c>
      <c r="Y47">
        <v>5727</v>
      </c>
      <c r="Z47">
        <v>3660</v>
      </c>
      <c r="AA47">
        <v>21873</v>
      </c>
      <c r="AB47">
        <v>13280</v>
      </c>
      <c r="AC47">
        <v>4261</v>
      </c>
      <c r="AD47">
        <v>9255</v>
      </c>
      <c r="AE47">
        <v>6190</v>
      </c>
      <c r="AF47">
        <v>3546</v>
      </c>
      <c r="AG47">
        <v>16172</v>
      </c>
    </row>
    <row r="48" spans="1:33" ht="12.75">
      <c r="A48">
        <f t="shared" si="1"/>
        <v>1962</v>
      </c>
      <c r="B48" s="10" t="s">
        <v>120</v>
      </c>
      <c r="C48" s="9" t="s">
        <v>149</v>
      </c>
      <c r="D48">
        <f>'standard variables'!D48</f>
        <v>1543</v>
      </c>
      <c r="E48">
        <v>102</v>
      </c>
      <c r="F48">
        <v>70</v>
      </c>
      <c r="G48">
        <v>428</v>
      </c>
      <c r="H48">
        <v>258</v>
      </c>
      <c r="I48">
        <v>75</v>
      </c>
      <c r="J48">
        <v>168</v>
      </c>
      <c r="K48">
        <v>98</v>
      </c>
      <c r="L48">
        <v>56</v>
      </c>
      <c r="M48">
        <v>288</v>
      </c>
      <c r="N48">
        <f t="shared" si="0"/>
        <v>2481</v>
      </c>
      <c r="O48">
        <v>143</v>
      </c>
      <c r="P48">
        <v>125</v>
      </c>
      <c r="Q48">
        <v>619</v>
      </c>
      <c r="R48">
        <v>390</v>
      </c>
      <c r="S48">
        <v>116</v>
      </c>
      <c r="T48">
        <v>292</v>
      </c>
      <c r="U48">
        <v>180</v>
      </c>
      <c r="V48">
        <v>86</v>
      </c>
      <c r="W48">
        <v>530</v>
      </c>
      <c r="X48" s="12">
        <f>'standard variables'!AL48</f>
        <v>87310</v>
      </c>
      <c r="Y48">
        <v>5712</v>
      </c>
      <c r="Z48">
        <v>3959</v>
      </c>
      <c r="AA48">
        <v>22060</v>
      </c>
      <c r="AB48">
        <v>13378</v>
      </c>
      <c r="AC48">
        <v>4288</v>
      </c>
      <c r="AD48">
        <v>9817</v>
      </c>
      <c r="AE48">
        <v>7166</v>
      </c>
      <c r="AF48">
        <v>3797</v>
      </c>
      <c r="AG48">
        <v>17133</v>
      </c>
    </row>
    <row r="49" spans="1:33" ht="12.75">
      <c r="A49">
        <f t="shared" si="1"/>
        <v>1963</v>
      </c>
      <c r="B49" s="10" t="s">
        <v>120</v>
      </c>
      <c r="C49" s="9" t="s">
        <v>149</v>
      </c>
      <c r="D49">
        <f>'standard variables'!D49</f>
        <v>-2</v>
      </c>
      <c r="E49">
        <v>-2</v>
      </c>
      <c r="F49">
        <v>-2</v>
      </c>
      <c r="G49">
        <v>-2</v>
      </c>
      <c r="H49">
        <v>-2</v>
      </c>
      <c r="I49">
        <v>-2</v>
      </c>
      <c r="J49">
        <v>-2</v>
      </c>
      <c r="K49">
        <v>-2</v>
      </c>
      <c r="L49">
        <v>-2</v>
      </c>
      <c r="M49">
        <v>-2</v>
      </c>
      <c r="N49">
        <f t="shared" si="0"/>
        <v>-2</v>
      </c>
      <c r="O49">
        <v>-2</v>
      </c>
      <c r="P49">
        <v>-2</v>
      </c>
      <c r="Q49">
        <v>-2</v>
      </c>
      <c r="R49">
        <v>-2</v>
      </c>
      <c r="S49">
        <v>-2</v>
      </c>
      <c r="T49">
        <v>-2</v>
      </c>
      <c r="U49">
        <v>-2</v>
      </c>
      <c r="V49">
        <v>-2</v>
      </c>
      <c r="W49">
        <v>-2</v>
      </c>
      <c r="X49" s="12">
        <f>'standard variables'!AL49</f>
        <v>-2</v>
      </c>
      <c r="Y49">
        <v>-2</v>
      </c>
      <c r="Z49">
        <v>-2</v>
      </c>
      <c r="AA49">
        <v>-2</v>
      </c>
      <c r="AB49">
        <v>-2</v>
      </c>
      <c r="AC49">
        <v>-2</v>
      </c>
      <c r="AD49">
        <v>-2</v>
      </c>
      <c r="AE49">
        <v>-2</v>
      </c>
      <c r="AF49">
        <v>-2</v>
      </c>
      <c r="AG49">
        <v>-2</v>
      </c>
    </row>
    <row r="50" spans="1:33" ht="12.75">
      <c r="A50">
        <f t="shared" si="1"/>
        <v>1964</v>
      </c>
      <c r="B50" s="10" t="s">
        <v>120</v>
      </c>
      <c r="C50" s="9" t="s">
        <v>149</v>
      </c>
      <c r="D50">
        <f>'standard variables'!D50</f>
        <v>-2</v>
      </c>
      <c r="E50">
        <v>-2</v>
      </c>
      <c r="F50">
        <v>-2</v>
      </c>
      <c r="G50">
        <v>-2</v>
      </c>
      <c r="H50">
        <v>-2</v>
      </c>
      <c r="I50">
        <v>-2</v>
      </c>
      <c r="J50">
        <v>-2</v>
      </c>
      <c r="K50">
        <v>-2</v>
      </c>
      <c r="L50">
        <v>-2</v>
      </c>
      <c r="M50">
        <v>-2</v>
      </c>
      <c r="N50">
        <f t="shared" si="0"/>
        <v>-2</v>
      </c>
      <c r="O50">
        <v>-2</v>
      </c>
      <c r="P50">
        <v>-2</v>
      </c>
      <c r="Q50">
        <v>-2</v>
      </c>
      <c r="R50">
        <v>-2</v>
      </c>
      <c r="S50">
        <v>-2</v>
      </c>
      <c r="T50">
        <v>-2</v>
      </c>
      <c r="U50">
        <v>-2</v>
      </c>
      <c r="V50">
        <v>-2</v>
      </c>
      <c r="W50">
        <v>-2</v>
      </c>
      <c r="X50" s="12">
        <f>'standard variables'!AL50</f>
        <v>-2</v>
      </c>
      <c r="Y50">
        <v>-2</v>
      </c>
      <c r="Z50">
        <v>-2</v>
      </c>
      <c r="AA50">
        <v>-2</v>
      </c>
      <c r="AB50">
        <v>-2</v>
      </c>
      <c r="AC50">
        <v>-2</v>
      </c>
      <c r="AD50">
        <v>-2</v>
      </c>
      <c r="AE50">
        <v>-2</v>
      </c>
      <c r="AF50">
        <v>-2</v>
      </c>
      <c r="AG50">
        <v>-2</v>
      </c>
    </row>
    <row r="51" spans="1:33" ht="12.75">
      <c r="A51">
        <f t="shared" si="1"/>
        <v>1965</v>
      </c>
      <c r="B51" s="10" t="s">
        <v>120</v>
      </c>
      <c r="C51" s="9" t="s">
        <v>149</v>
      </c>
      <c r="D51">
        <f>'standard variables'!D51</f>
        <v>-2</v>
      </c>
      <c r="E51">
        <v>-2</v>
      </c>
      <c r="F51">
        <v>-2</v>
      </c>
      <c r="G51">
        <v>-2</v>
      </c>
      <c r="H51">
        <v>-2</v>
      </c>
      <c r="I51">
        <v>-2</v>
      </c>
      <c r="J51">
        <v>-2</v>
      </c>
      <c r="K51">
        <v>-2</v>
      </c>
      <c r="L51">
        <v>-2</v>
      </c>
      <c r="M51">
        <v>-2</v>
      </c>
      <c r="N51">
        <f t="shared" si="0"/>
        <v>-2</v>
      </c>
      <c r="O51">
        <v>-2</v>
      </c>
      <c r="P51">
        <v>-2</v>
      </c>
      <c r="Q51">
        <v>-2</v>
      </c>
      <c r="R51">
        <v>-2</v>
      </c>
      <c r="S51">
        <v>-2</v>
      </c>
      <c r="T51">
        <v>-2</v>
      </c>
      <c r="U51">
        <v>-2</v>
      </c>
      <c r="V51">
        <v>-2</v>
      </c>
      <c r="W51">
        <v>-2</v>
      </c>
      <c r="X51" s="12">
        <f>'standard variables'!AL51</f>
        <v>-2</v>
      </c>
      <c r="Y51">
        <v>-2</v>
      </c>
      <c r="Z51">
        <v>-2</v>
      </c>
      <c r="AA51">
        <v>-2</v>
      </c>
      <c r="AB51">
        <v>-2</v>
      </c>
      <c r="AC51">
        <v>-2</v>
      </c>
      <c r="AD51">
        <v>-2</v>
      </c>
      <c r="AE51">
        <v>-2</v>
      </c>
      <c r="AF51">
        <v>-2</v>
      </c>
      <c r="AG51">
        <v>-2</v>
      </c>
    </row>
    <row r="52" spans="1:33" ht="12.75">
      <c r="A52">
        <f t="shared" si="1"/>
        <v>1966</v>
      </c>
      <c r="B52" s="10" t="s">
        <v>120</v>
      </c>
      <c r="C52" s="9" t="s">
        <v>149</v>
      </c>
      <c r="D52">
        <f>'standard variables'!D52</f>
        <v>-2</v>
      </c>
      <c r="E52">
        <v>-2</v>
      </c>
      <c r="F52">
        <v>-2</v>
      </c>
      <c r="G52">
        <v>-2</v>
      </c>
      <c r="H52">
        <v>-2</v>
      </c>
      <c r="I52">
        <v>-2</v>
      </c>
      <c r="J52">
        <v>-2</v>
      </c>
      <c r="K52">
        <v>-2</v>
      </c>
      <c r="L52">
        <v>-2</v>
      </c>
      <c r="M52">
        <v>-2</v>
      </c>
      <c r="N52">
        <f t="shared" si="0"/>
        <v>-2</v>
      </c>
      <c r="O52">
        <v>-2</v>
      </c>
      <c r="P52">
        <v>-2</v>
      </c>
      <c r="Q52">
        <v>-2</v>
      </c>
      <c r="R52">
        <v>-2</v>
      </c>
      <c r="S52">
        <v>-2</v>
      </c>
      <c r="T52">
        <v>-2</v>
      </c>
      <c r="U52">
        <v>-2</v>
      </c>
      <c r="V52">
        <v>-2</v>
      </c>
      <c r="W52">
        <v>-2</v>
      </c>
      <c r="X52" s="12">
        <f>'standard variables'!AL52</f>
        <v>-2</v>
      </c>
      <c r="Y52">
        <v>-2</v>
      </c>
      <c r="Z52">
        <v>-2</v>
      </c>
      <c r="AA52">
        <v>-2</v>
      </c>
      <c r="AB52">
        <v>-2</v>
      </c>
      <c r="AC52">
        <v>-2</v>
      </c>
      <c r="AD52">
        <v>-2</v>
      </c>
      <c r="AE52">
        <v>-2</v>
      </c>
      <c r="AF52">
        <v>-2</v>
      </c>
      <c r="AG52">
        <v>-2</v>
      </c>
    </row>
    <row r="53" spans="1:33" ht="12.75">
      <c r="A53">
        <f t="shared" si="1"/>
        <v>1967</v>
      </c>
      <c r="B53" s="10" t="s">
        <v>120</v>
      </c>
      <c r="C53" s="9" t="s">
        <v>149</v>
      </c>
      <c r="D53">
        <f>'standard variables'!D53</f>
        <v>1875</v>
      </c>
      <c r="E53">
        <v>110</v>
      </c>
      <c r="F53">
        <v>97</v>
      </c>
      <c r="G53">
        <v>459</v>
      </c>
      <c r="H53">
        <v>271</v>
      </c>
      <c r="I53">
        <v>86</v>
      </c>
      <c r="J53">
        <v>214</v>
      </c>
      <c r="K53">
        <v>115</v>
      </c>
      <c r="L53">
        <v>74</v>
      </c>
      <c r="M53">
        <v>449</v>
      </c>
      <c r="N53">
        <f t="shared" si="0"/>
        <v>3488</v>
      </c>
      <c r="O53">
        <f>68+2*31+3*10+4*1</f>
        <v>164</v>
      </c>
      <c r="P53">
        <f>0</f>
        <v>0</v>
      </c>
      <c r="Q53">
        <f>271+2*134+3*41+4*12+1*5</f>
        <v>715</v>
      </c>
      <c r="R53">
        <f>146+2*79+3*32+4*11+6*2+7*1</f>
        <v>463</v>
      </c>
      <c r="S53">
        <f>42+2*30+3*10+4*4</f>
        <v>148</v>
      </c>
      <c r="T53">
        <f>116+2*55+3*31+4*9+3*5</f>
        <v>370</v>
      </c>
      <c r="U53">
        <f>44+2*36+3*25+4*7+6*3</f>
        <v>237</v>
      </c>
      <c r="V53">
        <f>27+2*33+3*6+4*7+5*1</f>
        <v>144</v>
      </c>
      <c r="W53">
        <f>107+2*141+3*70+4*64+5*39+6*10+7*10+8*5+9*3</f>
        <v>1247</v>
      </c>
      <c r="X53" s="12">
        <f>'standard variables'!AL53</f>
        <v>120596</v>
      </c>
      <c r="Y53">
        <v>6525</v>
      </c>
      <c r="Z53">
        <v>5787</v>
      </c>
      <c r="AA53">
        <v>24786</v>
      </c>
      <c r="AB53">
        <v>15492</v>
      </c>
      <c r="AC53">
        <v>5472</v>
      </c>
      <c r="AD53">
        <v>12495</v>
      </c>
      <c r="AE53">
        <v>8983</v>
      </c>
      <c r="AF53">
        <v>5566</v>
      </c>
      <c r="AG53">
        <v>22157</v>
      </c>
    </row>
    <row r="54" spans="1:33" ht="12.75">
      <c r="A54">
        <f t="shared" si="1"/>
        <v>1968</v>
      </c>
      <c r="B54" s="10" t="s">
        <v>120</v>
      </c>
      <c r="C54" s="9" t="s">
        <v>149</v>
      </c>
      <c r="D54">
        <f>'standard variables'!D54</f>
        <v>1921</v>
      </c>
      <c r="E54">
        <v>109</v>
      </c>
      <c r="F54">
        <v>102</v>
      </c>
      <c r="G54">
        <v>465</v>
      </c>
      <c r="H54">
        <v>285</v>
      </c>
      <c r="I54">
        <v>90</v>
      </c>
      <c r="J54">
        <v>214</v>
      </c>
      <c r="K54">
        <v>120</v>
      </c>
      <c r="L54">
        <v>76</v>
      </c>
      <c r="M54">
        <v>460</v>
      </c>
      <c r="N54">
        <f t="shared" si="0"/>
        <v>3798</v>
      </c>
      <c r="O54">
        <f>63+2*35+3*9+4*2</f>
        <v>168</v>
      </c>
      <c r="P54">
        <f>38+2*45+3*15+4*2+5*1+6*1</f>
        <v>192</v>
      </c>
      <c r="Q54">
        <f>265+2*144+3*41+4*14+5*1</f>
        <v>737</v>
      </c>
      <c r="R54">
        <f>154+2*81+3*39+4*8+5*1+6*2</f>
        <v>482</v>
      </c>
      <c r="S54">
        <f>46+2*29+3*10+4*5</f>
        <v>154</v>
      </c>
      <c r="T54">
        <f>113+2*54+3*32+4*12+5*3</f>
        <v>380</v>
      </c>
      <c r="U54">
        <f>43+2*43+3*24+4*6+6*3+7*1</f>
        <v>250</v>
      </c>
      <c r="V54">
        <f>25+2*32+3*7+4*10+5*1+6*1</f>
        <v>161</v>
      </c>
      <c r="W54">
        <f>108+2*142+3*77+4*62+5*42+6*10+7*19</f>
        <v>1274</v>
      </c>
      <c r="X54" s="12">
        <f>SUM(Y54:AG54)</f>
        <v>110394</v>
      </c>
      <c r="Y54">
        <v>6349</v>
      </c>
      <c r="Z54">
        <v>5941</v>
      </c>
      <c r="AA54">
        <v>25265</v>
      </c>
      <c r="AB54">
        <v>16165</v>
      </c>
      <c r="AC54">
        <v>5707</v>
      </c>
      <c r="AD54">
        <v>12889</v>
      </c>
      <c r="AE54">
        <v>9624</v>
      </c>
      <c r="AF54">
        <v>6057</v>
      </c>
      <c r="AG54">
        <v>22397</v>
      </c>
    </row>
    <row r="55" spans="1:33" ht="12.75">
      <c r="A55">
        <f t="shared" si="1"/>
        <v>1969</v>
      </c>
      <c r="B55" s="10" t="s">
        <v>120</v>
      </c>
      <c r="C55" s="9" t="s">
        <v>149</v>
      </c>
      <c r="D55">
        <f>'standard variables'!D55</f>
        <v>1962</v>
      </c>
      <c r="E55">
        <v>112</v>
      </c>
      <c r="F55">
        <v>104</v>
      </c>
      <c r="G55">
        <v>478</v>
      </c>
      <c r="H55">
        <v>293</v>
      </c>
      <c r="I55">
        <v>96</v>
      </c>
      <c r="J55">
        <v>211</v>
      </c>
      <c r="K55">
        <v>126</v>
      </c>
      <c r="L55">
        <v>78</v>
      </c>
      <c r="M55">
        <v>464</v>
      </c>
      <c r="N55">
        <f t="shared" si="0"/>
        <v>4075</v>
      </c>
      <c r="O55">
        <f>63+2*37+3*10+4*1+5*1</f>
        <v>176</v>
      </c>
      <c r="P55">
        <f>39+2*45+3*15+4*4+6*1</f>
        <v>196</v>
      </c>
      <c r="Q55">
        <f>266+2*150+3*44+4*17+5*1</f>
        <v>771</v>
      </c>
      <c r="R55">
        <f>153+2*87+3*38+4*11+2*5+2*6</f>
        <v>507</v>
      </c>
      <c r="S55">
        <f>46+2*33+3*10+4*6+5*1</f>
        <v>171</v>
      </c>
      <c r="T55">
        <f>106+2*53+3*35+4*13+5*4+7*1</f>
        <v>396</v>
      </c>
      <c r="U55">
        <f>44+2*50+3*35+4*13+5*4+7*1</f>
        <v>328</v>
      </c>
      <c r="V55">
        <f>24+2*36+3*8+4*9+6*4</f>
        <v>180</v>
      </c>
      <c r="W55">
        <f>97+2*132+3*88+4*63+5*52+6*11+7*21</f>
        <v>1350</v>
      </c>
      <c r="X55" s="12">
        <f>'standard variables'!AL55</f>
        <v>114163</v>
      </c>
      <c r="Y55">
        <v>6509</v>
      </c>
      <c r="Z55">
        <v>6050</v>
      </c>
      <c r="AA55">
        <v>26102</v>
      </c>
      <c r="AB55">
        <v>16804</v>
      </c>
      <c r="AC55">
        <v>6260</v>
      </c>
      <c r="AD55">
        <v>12802</v>
      </c>
      <c r="AE55">
        <v>10054</v>
      </c>
      <c r="AF55">
        <v>6249</v>
      </c>
      <c r="AG55">
        <v>23333</v>
      </c>
    </row>
    <row r="56" spans="1:33" ht="12.75">
      <c r="A56">
        <f t="shared" si="1"/>
        <v>1970</v>
      </c>
      <c r="B56" s="10" t="s">
        <v>120</v>
      </c>
      <c r="C56" s="9" t="s">
        <v>149</v>
      </c>
      <c r="D56">
        <f>'standard variables'!D56</f>
        <v>2079</v>
      </c>
      <c r="E56">
        <v>112</v>
      </c>
      <c r="F56">
        <v>105</v>
      </c>
      <c r="G56">
        <v>499</v>
      </c>
      <c r="H56">
        <v>314</v>
      </c>
      <c r="I56">
        <v>106</v>
      </c>
      <c r="J56">
        <v>217</v>
      </c>
      <c r="K56">
        <v>130</v>
      </c>
      <c r="L56">
        <v>81</v>
      </c>
      <c r="M56">
        <v>515</v>
      </c>
      <c r="N56">
        <f t="shared" si="0"/>
        <v>4082</v>
      </c>
      <c r="O56">
        <v>179</v>
      </c>
      <c r="P56">
        <v>196</v>
      </c>
      <c r="Q56">
        <v>809</v>
      </c>
      <c r="R56">
        <v>541</v>
      </c>
      <c r="S56">
        <v>195</v>
      </c>
      <c r="T56">
        <v>410</v>
      </c>
      <c r="U56">
        <v>273</v>
      </c>
      <c r="V56">
        <v>172</v>
      </c>
      <c r="W56">
        <v>1307</v>
      </c>
      <c r="X56" s="12">
        <f>'standard variables'!AL56</f>
        <v>120359</v>
      </c>
      <c r="Y56">
        <v>6279</v>
      </c>
      <c r="Z56">
        <v>6153</v>
      </c>
      <c r="AA56">
        <v>27265</v>
      </c>
      <c r="AB56">
        <v>17568</v>
      </c>
      <c r="AC56">
        <v>6969</v>
      </c>
      <c r="AD56">
        <v>13470</v>
      </c>
      <c r="AE56">
        <v>10343</v>
      </c>
      <c r="AF56">
        <v>6274</v>
      </c>
      <c r="AG56">
        <v>26038</v>
      </c>
    </row>
    <row r="57" spans="1:33" ht="12.75">
      <c r="A57">
        <f t="shared" si="1"/>
        <v>1971</v>
      </c>
      <c r="B57" s="10" t="s">
        <v>120</v>
      </c>
      <c r="C57" s="9" t="s">
        <v>149</v>
      </c>
      <c r="D57">
        <f>'standard variables'!D57</f>
        <v>2194</v>
      </c>
      <c r="E57">
        <v>115</v>
      </c>
      <c r="F57">
        <v>110</v>
      </c>
      <c r="G57">
        <v>518</v>
      </c>
      <c r="H57">
        <v>325</v>
      </c>
      <c r="I57">
        <v>114</v>
      </c>
      <c r="J57">
        <v>243</v>
      </c>
      <c r="K57">
        <v>136</v>
      </c>
      <c r="L57">
        <v>89</v>
      </c>
      <c r="M57">
        <v>544</v>
      </c>
      <c r="N57">
        <f t="shared" si="0"/>
        <v>4549</v>
      </c>
      <c r="O57">
        <f>52+98+36+8</f>
        <v>194</v>
      </c>
      <c r="P57">
        <f>44+82+51+20+10+6</f>
        <v>213</v>
      </c>
      <c r="Q57">
        <f>287+312+165+76+5</f>
        <v>845</v>
      </c>
      <c r="R57">
        <f>155+210+141+52+10+6</f>
        <v>574</v>
      </c>
      <c r="S57">
        <f>46+78+63+20+10+6+7*2</f>
        <v>237</v>
      </c>
      <c r="T57">
        <f>117+134+108+76+18+7*1</f>
        <v>460</v>
      </c>
      <c r="U57">
        <f>45+98+81+36+5+24+7*1</f>
        <v>296</v>
      </c>
      <c r="V57">
        <f>30+88+24+24+5</f>
        <v>171</v>
      </c>
      <c r="W57">
        <f>120+340+279+240+255+150+7*25</f>
        <v>1559</v>
      </c>
      <c r="X57" s="12">
        <f>'standard variables'!AL57</f>
        <v>126641</v>
      </c>
      <c r="Y57">
        <v>6588</v>
      </c>
      <c r="Z57">
        <v>6519</v>
      </c>
      <c r="AA57">
        <v>28473</v>
      </c>
      <c r="AB57">
        <v>18240</v>
      </c>
      <c r="AC57">
        <v>7556</v>
      </c>
      <c r="AD57">
        <v>14501</v>
      </c>
      <c r="AE57">
        <v>10905</v>
      </c>
      <c r="AF57">
        <v>6352</v>
      </c>
      <c r="AG57">
        <v>27507</v>
      </c>
    </row>
    <row r="58" spans="1:33" ht="12.75">
      <c r="A58">
        <f t="shared" si="1"/>
        <v>1972</v>
      </c>
      <c r="B58" s="10" t="s">
        <v>120</v>
      </c>
      <c r="C58" s="9" t="s">
        <v>149</v>
      </c>
      <c r="D58">
        <f>'standard variables'!D58</f>
        <v>2236</v>
      </c>
      <c r="E58">
        <v>116</v>
      </c>
      <c r="F58">
        <v>118</v>
      </c>
      <c r="G58">
        <v>553</v>
      </c>
      <c r="H58">
        <v>337</v>
      </c>
      <c r="I58">
        <v>121</v>
      </c>
      <c r="J58">
        <v>261</v>
      </c>
      <c r="K58">
        <v>145</v>
      </c>
      <c r="L58">
        <v>102</v>
      </c>
      <c r="M58">
        <v>483</v>
      </c>
      <c r="N58">
        <f t="shared" si="0"/>
        <v>4250</v>
      </c>
      <c r="O58">
        <v>213</v>
      </c>
      <c r="P58">
        <v>222</v>
      </c>
      <c r="Q58">
        <v>900</v>
      </c>
      <c r="R58">
        <v>639</v>
      </c>
      <c r="S58">
        <v>246</v>
      </c>
      <c r="T58">
        <v>487</v>
      </c>
      <c r="U58">
        <v>312</v>
      </c>
      <c r="V58">
        <v>205</v>
      </c>
      <c r="W58">
        <v>1026</v>
      </c>
      <c r="X58" s="12">
        <f>'standard variables'!AL58</f>
        <v>133406</v>
      </c>
      <c r="Y58">
        <v>6577</v>
      </c>
      <c r="Z58">
        <v>6789</v>
      </c>
      <c r="AA58">
        <v>30227</v>
      </c>
      <c r="AB58">
        <v>19097</v>
      </c>
      <c r="AC58">
        <v>8259</v>
      </c>
      <c r="AD58">
        <v>15399</v>
      </c>
      <c r="AE58">
        <v>11369</v>
      </c>
      <c r="AF58">
        <v>6842</v>
      </c>
      <c r="AG58">
        <v>28838</v>
      </c>
    </row>
    <row r="59" spans="1:33" ht="12.75">
      <c r="A59">
        <f t="shared" si="1"/>
        <v>1973</v>
      </c>
      <c r="B59" s="10" t="s">
        <v>120</v>
      </c>
      <c r="C59" s="9" t="s">
        <v>149</v>
      </c>
      <c r="D59">
        <f>'standard variables'!D59</f>
        <v>2421</v>
      </c>
      <c r="E59">
        <v>117</v>
      </c>
      <c r="F59">
        <v>119</v>
      </c>
      <c r="G59">
        <v>561</v>
      </c>
      <c r="H59">
        <v>388</v>
      </c>
      <c r="I59">
        <v>135</v>
      </c>
      <c r="J59">
        <v>280</v>
      </c>
      <c r="K59">
        <v>176</v>
      </c>
      <c r="L59">
        <v>107</v>
      </c>
      <c r="M59">
        <v>538</v>
      </c>
      <c r="N59">
        <f t="shared" si="0"/>
        <v>4628</v>
      </c>
      <c r="O59">
        <v>215</v>
      </c>
      <c r="P59">
        <v>236</v>
      </c>
      <c r="Q59">
        <v>931</v>
      </c>
      <c r="R59">
        <v>745</v>
      </c>
      <c r="S59">
        <v>260</v>
      </c>
      <c r="T59">
        <v>520</v>
      </c>
      <c r="U59">
        <v>365</v>
      </c>
      <c r="V59">
        <v>202</v>
      </c>
      <c r="W59">
        <v>1154</v>
      </c>
      <c r="X59" s="12">
        <f>'standard variables'!AL59</f>
        <v>141103</v>
      </c>
      <c r="Y59">
        <v>6458</v>
      </c>
      <c r="Z59">
        <v>7171</v>
      </c>
      <c r="AA59">
        <v>30311</v>
      </c>
      <c r="AB59">
        <v>21211</v>
      </c>
      <c r="AC59">
        <v>9003</v>
      </c>
      <c r="AD59">
        <v>16010</v>
      </c>
      <c r="AE59">
        <v>12290</v>
      </c>
      <c r="AF59">
        <v>7072</v>
      </c>
      <c r="AG59">
        <v>31577</v>
      </c>
    </row>
    <row r="60" spans="1:33" ht="12.75">
      <c r="A60">
        <f t="shared" si="1"/>
        <v>1974</v>
      </c>
      <c r="B60" s="10" t="s">
        <v>120</v>
      </c>
      <c r="C60" s="9" t="s">
        <v>149</v>
      </c>
      <c r="D60">
        <f>'standard variables'!D60</f>
        <v>2647</v>
      </c>
      <c r="E60">
        <v>124</v>
      </c>
      <c r="F60">
        <v>126</v>
      </c>
      <c r="G60">
        <v>606</v>
      </c>
      <c r="H60">
        <v>447</v>
      </c>
      <c r="I60">
        <v>148</v>
      </c>
      <c r="J60">
        <v>311</v>
      </c>
      <c r="K60">
        <v>211</v>
      </c>
      <c r="L60">
        <v>116</v>
      </c>
      <c r="M60">
        <v>558</v>
      </c>
      <c r="N60">
        <f t="shared" si="0"/>
        <v>5004</v>
      </c>
      <c r="O60">
        <v>240</v>
      </c>
      <c r="P60">
        <v>261</v>
      </c>
      <c r="Q60">
        <v>1003</v>
      </c>
      <c r="R60">
        <v>867</v>
      </c>
      <c r="S60">
        <v>286</v>
      </c>
      <c r="T60">
        <v>572</v>
      </c>
      <c r="U60">
        <v>402</v>
      </c>
      <c r="V60">
        <v>191</v>
      </c>
      <c r="W60">
        <v>1182</v>
      </c>
      <c r="X60" s="12">
        <f>'standard variables'!AL60</f>
        <v>148221</v>
      </c>
      <c r="Y60">
        <v>6767</v>
      </c>
      <c r="Z60">
        <v>7699</v>
      </c>
      <c r="AA60">
        <v>31693</v>
      </c>
      <c r="AB60">
        <v>23782</v>
      </c>
      <c r="AC60">
        <v>9423</v>
      </c>
      <c r="AD60">
        <v>16944</v>
      </c>
      <c r="AE60">
        <v>12902</v>
      </c>
      <c r="AF60">
        <v>7018</v>
      </c>
      <c r="AG60">
        <v>31993</v>
      </c>
    </row>
    <row r="61" spans="1:33" ht="12.75">
      <c r="A61">
        <f t="shared" si="1"/>
        <v>1975</v>
      </c>
      <c r="B61" s="10" t="s">
        <v>120</v>
      </c>
      <c r="C61" s="9" t="s">
        <v>149</v>
      </c>
      <c r="D61">
        <f>'standard variables'!D61</f>
        <v>2882</v>
      </c>
      <c r="E61">
        <v>134</v>
      </c>
      <c r="F61">
        <v>127</v>
      </c>
      <c r="G61">
        <v>664</v>
      </c>
      <c r="H61">
        <v>516</v>
      </c>
      <c r="I61">
        <v>157</v>
      </c>
      <c r="J61">
        <v>360</v>
      </c>
      <c r="K61">
        <v>230</v>
      </c>
      <c r="L61">
        <v>129</v>
      </c>
      <c r="M61">
        <v>565</v>
      </c>
      <c r="N61">
        <f t="shared" si="0"/>
        <v>5336</v>
      </c>
      <c r="O61">
        <f>52+2*51+3*24+4*5+5*2</f>
        <v>256</v>
      </c>
      <c r="P61">
        <f>48+2*46+3*17+4*9+5*3+6*3+8*1</f>
        <v>268</v>
      </c>
      <c r="Q61">
        <f>369+2*199+3*59+4*36+5*1</f>
        <v>1093</v>
      </c>
      <c r="R61">
        <f>248+2*163+3*60+4*28+5*11+6*4+7*2</f>
        <v>959</v>
      </c>
      <c r="S61">
        <f>63+2*59+3*25+4*7+5*2+6*1</f>
        <v>300</v>
      </c>
      <c r="T61">
        <f>190+2*93+3*52+4*20+5*4+6*1</f>
        <v>638</v>
      </c>
      <c r="U61">
        <f>117+2*64+3*29+4*15+5*1+6*4</f>
        <v>421</v>
      </c>
      <c r="V61">
        <f>64+2*48+3*15+4*1+6*1</f>
        <v>215</v>
      </c>
      <c r="W61">
        <f>188+2*210+3*110+4*42+5*11+6*3+7*1</f>
        <v>1186</v>
      </c>
      <c r="X61" s="12">
        <f>'standard variables'!AL61</f>
        <v>154318</v>
      </c>
      <c r="Y61">
        <v>7292</v>
      </c>
      <c r="Z61">
        <v>7936</v>
      </c>
      <c r="AA61">
        <v>33550</v>
      </c>
      <c r="AB61">
        <v>25640</v>
      </c>
      <c r="AC61">
        <v>9617</v>
      </c>
      <c r="AD61">
        <v>18076</v>
      </c>
      <c r="AE61">
        <v>13063</v>
      </c>
      <c r="AF61">
        <v>7453</v>
      </c>
      <c r="AG61">
        <v>31691</v>
      </c>
    </row>
    <row r="62" spans="1:33" ht="12.75">
      <c r="A62">
        <f t="shared" si="1"/>
        <v>1976</v>
      </c>
      <c r="B62" s="10" t="s">
        <v>120</v>
      </c>
      <c r="C62" s="9" t="s">
        <v>149</v>
      </c>
      <c r="D62">
        <f>'standard variables'!D62</f>
        <v>3034</v>
      </c>
      <c r="E62">
        <v>152</v>
      </c>
      <c r="F62">
        <v>131</v>
      </c>
      <c r="G62">
        <v>699</v>
      </c>
      <c r="H62">
        <v>539</v>
      </c>
      <c r="I62">
        <v>169</v>
      </c>
      <c r="J62">
        <v>394</v>
      </c>
      <c r="K62">
        <v>248</v>
      </c>
      <c r="L62">
        <v>135</v>
      </c>
      <c r="M62">
        <v>567</v>
      </c>
      <c r="N62">
        <f t="shared" si="0"/>
        <v>5593</v>
      </c>
      <c r="O62">
        <f>71+2*51+3*23+5*4+5*2</f>
        <v>272</v>
      </c>
      <c r="P62">
        <f>54+2*43+3*18+4*9+5*4+6*1+7*2</f>
        <v>270</v>
      </c>
      <c r="Q62">
        <f>386+2*209+3*69+4*34+5*1</f>
        <v>1152</v>
      </c>
      <c r="R62">
        <f>256+2*180+3*55+4*29+5*14+6*4+7*1</f>
        <v>998</v>
      </c>
      <c r="S62">
        <f>69+2*62+3*27+4*7+5*3+6*1</f>
        <v>323</v>
      </c>
      <c r="T62">
        <f>198+2*116+3*54+4*22+5*3+6*1</f>
        <v>701</v>
      </c>
      <c r="U62">
        <f>131+2*68+3*28+4*14+5*2+6*5</f>
        <v>447</v>
      </c>
      <c r="V62">
        <f>70+2*46+3*17+4*1+5*1</f>
        <v>222</v>
      </c>
      <c r="W62">
        <f>181+2*218+3*103+4*47+5*15+6*2+7*1</f>
        <v>1208</v>
      </c>
      <c r="X62" s="12">
        <f>'standard variables'!AL62</f>
        <v>156278</v>
      </c>
      <c r="Y62">
        <v>7737</v>
      </c>
      <c r="Z62">
        <v>7637</v>
      </c>
      <c r="AA62">
        <v>34294</v>
      </c>
      <c r="AB62">
        <v>25669</v>
      </c>
      <c r="AC62">
        <v>9732</v>
      </c>
      <c r="AD62">
        <v>19140</v>
      </c>
      <c r="AE62">
        <v>13337</v>
      </c>
      <c r="AF62">
        <v>7477</v>
      </c>
      <c r="AG62">
        <v>31255</v>
      </c>
    </row>
    <row r="63" spans="1:33" ht="12.75">
      <c r="A63">
        <f t="shared" si="1"/>
        <v>1977</v>
      </c>
      <c r="B63" s="10" t="s">
        <v>120</v>
      </c>
      <c r="C63" s="9" t="s">
        <v>149</v>
      </c>
      <c r="D63">
        <f>'standard variables'!D63</f>
        <v>3189</v>
      </c>
      <c r="E63">
        <v>165</v>
      </c>
      <c r="F63">
        <v>130</v>
      </c>
      <c r="G63">
        <v>754</v>
      </c>
      <c r="H63">
        <v>558</v>
      </c>
      <c r="I63">
        <v>183</v>
      </c>
      <c r="J63">
        <v>430</v>
      </c>
      <c r="K63">
        <v>256</v>
      </c>
      <c r="L63">
        <v>148</v>
      </c>
      <c r="M63">
        <v>585</v>
      </c>
      <c r="N63">
        <f t="shared" si="0"/>
        <v>5902</v>
      </c>
      <c r="O63">
        <f>81+2*50+3*25+4*6+5*3</f>
        <v>295</v>
      </c>
      <c r="P63">
        <f>51+2*43+3*21+4*8+5*4+6*1+7*1+8*1</f>
        <v>273</v>
      </c>
      <c r="Q63">
        <f>422+2*223+3*73+4*35+5*1</f>
        <v>1232</v>
      </c>
      <c r="R63">
        <f>258+2*187+3*70+4*25+5*11+6*5+7*2</f>
        <v>1041</v>
      </c>
      <c r="S63">
        <f>77+2*64+3*29+4*10+5*2+6*1</f>
        <v>348</v>
      </c>
      <c r="T63">
        <f>213+2*130+3*61+4*23+5*2+6*1</f>
        <v>764</v>
      </c>
      <c r="U63">
        <f>136+2*70+3*27+4*16+5*2+6*5</f>
        <v>461</v>
      </c>
      <c r="V63">
        <f>77+2*49+3*19+4*2+5*1</f>
        <v>245</v>
      </c>
      <c r="W63">
        <f>189+2*218+3*116+4*44+5*14+6*4</f>
        <v>1243</v>
      </c>
      <c r="X63" s="12">
        <f>'standard variables'!AL63</f>
        <v>160081</v>
      </c>
      <c r="Y63">
        <v>8183</v>
      </c>
      <c r="Z63">
        <v>7608</v>
      </c>
      <c r="AA63">
        <v>35542</v>
      </c>
      <c r="AB63">
        <v>26255</v>
      </c>
      <c r="AC63">
        <v>10109</v>
      </c>
      <c r="AD63">
        <v>20518</v>
      </c>
      <c r="AE63">
        <v>13303</v>
      </c>
      <c r="AF63">
        <v>7749</v>
      </c>
      <c r="AG63">
        <v>30814</v>
      </c>
    </row>
    <row r="64" spans="1:33" ht="12.75">
      <c r="A64">
        <f t="shared" si="1"/>
        <v>1978</v>
      </c>
      <c r="B64" s="10" t="s">
        <v>120</v>
      </c>
      <c r="C64" s="9" t="s">
        <v>149</v>
      </c>
      <c r="D64">
        <f>'standard variables'!D64</f>
        <v>3360</v>
      </c>
      <c r="E64">
        <v>170</v>
      </c>
      <c r="F64">
        <v>140</v>
      </c>
      <c r="G64">
        <v>798</v>
      </c>
      <c r="H64">
        <v>595</v>
      </c>
      <c r="I64">
        <v>191</v>
      </c>
      <c r="J64">
        <v>464</v>
      </c>
      <c r="K64">
        <v>266</v>
      </c>
      <c r="L64">
        <v>150</v>
      </c>
      <c r="M64">
        <v>586</v>
      </c>
      <c r="N64">
        <f t="shared" si="0"/>
        <v>6113</v>
      </c>
      <c r="O64">
        <f>78+2*56+3*27+4*7+5*2</f>
        <v>309</v>
      </c>
      <c r="P64">
        <f>57+2*50+3*18+4*8+5*5+7*1+8*1</f>
        <v>283</v>
      </c>
      <c r="Q64">
        <f>449+2*234+3*75+4*40</f>
        <v>1302</v>
      </c>
      <c r="R64">
        <f>265+2*210+3*72+4*30+5*6+6*5+7*3</f>
        <v>1102</v>
      </c>
      <c r="S64">
        <f>83+2*66+3*25+4*14+5*2+6*1</f>
        <v>362</v>
      </c>
      <c r="T64">
        <f>234+2*144+3*62+4*22+5*1+6*1</f>
        <v>807</v>
      </c>
      <c r="U64">
        <f>145+2*66+3*28+4*15+5*3+6*5</f>
        <v>466</v>
      </c>
      <c r="V64">
        <f>82+2*47+3*19+4*1+5*1</f>
        <v>242</v>
      </c>
      <c r="W64">
        <f>194+2*217+3*109+4*48+5*15+6*3</f>
        <v>1240</v>
      </c>
      <c r="X64" s="12">
        <f>'standard variables'!AL64</f>
        <v>161711</v>
      </c>
      <c r="Y64">
        <v>8175</v>
      </c>
      <c r="Z64">
        <v>7702</v>
      </c>
      <c r="AA64">
        <v>36733</v>
      </c>
      <c r="AB64">
        <v>27241</v>
      </c>
      <c r="AC64">
        <v>10235</v>
      </c>
      <c r="AD64">
        <v>20988</v>
      </c>
      <c r="AE64">
        <v>13224</v>
      </c>
      <c r="AF64">
        <v>7537</v>
      </c>
      <c r="AG64">
        <v>29876</v>
      </c>
    </row>
    <row r="65" spans="1:33" ht="12.75">
      <c r="A65">
        <f t="shared" si="1"/>
        <v>1979</v>
      </c>
      <c r="B65" s="10" t="s">
        <v>120</v>
      </c>
      <c r="C65" s="9" t="s">
        <v>149</v>
      </c>
      <c r="D65">
        <f>'standard variables'!D65</f>
        <v>3448</v>
      </c>
      <c r="E65">
        <v>170</v>
      </c>
      <c r="F65">
        <v>142</v>
      </c>
      <c r="G65">
        <v>814</v>
      </c>
      <c r="H65">
        <v>608</v>
      </c>
      <c r="I65">
        <v>200</v>
      </c>
      <c r="J65">
        <v>489</v>
      </c>
      <c r="K65">
        <v>278</v>
      </c>
      <c r="L65">
        <v>153</v>
      </c>
      <c r="M65">
        <v>594</v>
      </c>
      <c r="N65">
        <f t="shared" si="0"/>
        <v>6288</v>
      </c>
      <c r="O65">
        <v>308</v>
      </c>
      <c r="P65">
        <v>286</v>
      </c>
      <c r="Q65">
        <v>1338</v>
      </c>
      <c r="R65">
        <v>1133</v>
      </c>
      <c r="S65">
        <v>377</v>
      </c>
      <c r="T65">
        <v>843</v>
      </c>
      <c r="U65">
        <v>489</v>
      </c>
      <c r="V65">
        <v>250</v>
      </c>
      <c r="W65">
        <v>1264</v>
      </c>
      <c r="X65" s="12">
        <f>'standard variables'!AL65</f>
        <v>162502</v>
      </c>
      <c r="Y65">
        <v>8103</v>
      </c>
      <c r="Z65">
        <v>7749</v>
      </c>
      <c r="AA65">
        <v>36283</v>
      </c>
      <c r="AB65">
        <v>27749</v>
      </c>
      <c r="AC65">
        <v>10419</v>
      </c>
      <c r="AD65">
        <v>21357</v>
      </c>
      <c r="AE65">
        <v>13390</v>
      </c>
      <c r="AF65">
        <v>7404</v>
      </c>
      <c r="AG65">
        <v>30048</v>
      </c>
    </row>
    <row r="66" spans="1:33" ht="12.75">
      <c r="A66">
        <f t="shared" si="1"/>
        <v>1980</v>
      </c>
      <c r="B66" s="10" t="s">
        <v>120</v>
      </c>
      <c r="C66" s="9" t="s">
        <v>149</v>
      </c>
      <c r="D66">
        <f>'standard variables'!D66</f>
        <v>3477</v>
      </c>
      <c r="E66">
        <v>170</v>
      </c>
      <c r="F66">
        <v>144</v>
      </c>
      <c r="G66">
        <v>826</v>
      </c>
      <c r="H66">
        <v>599</v>
      </c>
      <c r="I66">
        <v>202</v>
      </c>
      <c r="J66">
        <v>497</v>
      </c>
      <c r="K66">
        <v>293</v>
      </c>
      <c r="L66">
        <v>157</v>
      </c>
      <c r="M66">
        <v>589</v>
      </c>
      <c r="N66">
        <f t="shared" si="0"/>
        <v>6403</v>
      </c>
      <c r="O66">
        <v>302</v>
      </c>
      <c r="P66">
        <v>292</v>
      </c>
      <c r="Q66">
        <v>1357</v>
      </c>
      <c r="R66">
        <v>1162</v>
      </c>
      <c r="S66">
        <v>384</v>
      </c>
      <c r="T66">
        <v>852</v>
      </c>
      <c r="U66">
        <v>506</v>
      </c>
      <c r="V66">
        <v>257</v>
      </c>
      <c r="W66">
        <v>1291</v>
      </c>
      <c r="X66" s="12">
        <f>'standard variables'!AL66</f>
        <v>160948</v>
      </c>
      <c r="Y66">
        <v>7831</v>
      </c>
      <c r="Z66">
        <v>7736</v>
      </c>
      <c r="AA66">
        <v>35484</v>
      </c>
      <c r="AB66">
        <v>27897</v>
      </c>
      <c r="AC66">
        <v>10334</v>
      </c>
      <c r="AD66">
        <v>21341</v>
      </c>
      <c r="AE66">
        <v>13426</v>
      </c>
      <c r="AF66">
        <v>7462</v>
      </c>
      <c r="AG66">
        <v>29437</v>
      </c>
    </row>
    <row r="67" spans="1:33" ht="12.75">
      <c r="A67">
        <f t="shared" si="1"/>
        <v>1981</v>
      </c>
      <c r="B67" s="10" t="s">
        <v>120</v>
      </c>
      <c r="C67" s="9" t="s">
        <v>149</v>
      </c>
      <c r="D67">
        <f>'standard variables'!D67</f>
        <v>3534</v>
      </c>
      <c r="E67">
        <v>173</v>
      </c>
      <c r="F67">
        <v>143</v>
      </c>
      <c r="G67">
        <v>837</v>
      </c>
      <c r="H67">
        <v>619</v>
      </c>
      <c r="I67">
        <v>204</v>
      </c>
      <c r="J67">
        <v>508</v>
      </c>
      <c r="K67">
        <v>301</v>
      </c>
      <c r="L67">
        <v>157</v>
      </c>
      <c r="M67">
        <v>592</v>
      </c>
      <c r="N67">
        <f t="shared" si="0"/>
        <v>6488</v>
      </c>
      <c r="O67">
        <v>310</v>
      </c>
      <c r="P67">
        <v>289</v>
      </c>
      <c r="Q67">
        <v>1377</v>
      </c>
      <c r="R67">
        <v>1188</v>
      </c>
      <c r="S67">
        <v>393</v>
      </c>
      <c r="T67">
        <v>860</v>
      </c>
      <c r="U67">
        <v>516</v>
      </c>
      <c r="V67">
        <v>260</v>
      </c>
      <c r="W67">
        <v>1295</v>
      </c>
      <c r="X67" s="12">
        <f>'standard variables'!AL67</f>
        <v>159186</v>
      </c>
      <c r="Y67">
        <v>7835</v>
      </c>
      <c r="Z67">
        <v>7594</v>
      </c>
      <c r="AA67">
        <v>34896</v>
      </c>
      <c r="AB67">
        <v>27519</v>
      </c>
      <c r="AC67">
        <v>10547</v>
      </c>
      <c r="AD67">
        <v>20897</v>
      </c>
      <c r="AE67">
        <v>13357</v>
      </c>
      <c r="AF67">
        <v>7395</v>
      </c>
      <c r="AG67">
        <v>29146</v>
      </c>
    </row>
    <row r="68" spans="1:33" ht="12.75">
      <c r="A68">
        <f t="shared" si="1"/>
        <v>1982</v>
      </c>
      <c r="B68" s="10" t="s">
        <v>120</v>
      </c>
      <c r="C68" s="9" t="s">
        <v>149</v>
      </c>
      <c r="D68">
        <f>'standard variables'!D68</f>
        <v>3554</v>
      </c>
      <c r="E68">
        <v>174</v>
      </c>
      <c r="F68">
        <v>142</v>
      </c>
      <c r="G68">
        <v>849</v>
      </c>
      <c r="H68">
        <v>623</v>
      </c>
      <c r="I68">
        <v>206</v>
      </c>
      <c r="J68">
        <v>509</v>
      </c>
      <c r="K68">
        <v>307</v>
      </c>
      <c r="L68">
        <v>159</v>
      </c>
      <c r="M68">
        <v>585</v>
      </c>
      <c r="N68">
        <f t="shared" si="0"/>
        <v>6540</v>
      </c>
      <c r="O68">
        <v>315</v>
      </c>
      <c r="P68">
        <v>286</v>
      </c>
      <c r="Q68">
        <v>1395</v>
      </c>
      <c r="R68">
        <v>1203</v>
      </c>
      <c r="S68">
        <v>402</v>
      </c>
      <c r="T68">
        <v>870</v>
      </c>
      <c r="U68">
        <v>527</v>
      </c>
      <c r="V68">
        <v>267</v>
      </c>
      <c r="W68">
        <v>1275</v>
      </c>
      <c r="X68" s="12">
        <f>'standard variables'!AL68</f>
        <v>158923</v>
      </c>
      <c r="Y68">
        <v>7906</v>
      </c>
      <c r="Z68">
        <v>7518</v>
      </c>
      <c r="AA68">
        <v>34920</v>
      </c>
      <c r="AB68">
        <v>27329</v>
      </c>
      <c r="AC68">
        <v>10603</v>
      </c>
      <c r="AD68">
        <v>20698</v>
      </c>
      <c r="AE68">
        <v>13305</v>
      </c>
      <c r="AF68">
        <v>7487</v>
      </c>
      <c r="AG68">
        <v>29157</v>
      </c>
    </row>
    <row r="69" spans="1:33" ht="12.75">
      <c r="A69">
        <f t="shared" si="1"/>
        <v>1983</v>
      </c>
      <c r="B69" s="10" t="s">
        <v>120</v>
      </c>
      <c r="C69" s="9" t="s">
        <v>149</v>
      </c>
      <c r="D69">
        <f>'standard variables'!D69</f>
        <v>3520</v>
      </c>
      <c r="E69">
        <v>172</v>
      </c>
      <c r="F69">
        <v>145</v>
      </c>
      <c r="G69">
        <v>849</v>
      </c>
      <c r="H69">
        <v>623</v>
      </c>
      <c r="I69">
        <v>213</v>
      </c>
      <c r="J69">
        <v>513</v>
      </c>
      <c r="K69">
        <v>313</v>
      </c>
      <c r="L69">
        <v>163</v>
      </c>
      <c r="M69">
        <v>589</v>
      </c>
      <c r="N69">
        <f aca="true" t="shared" si="2" ref="N69:N86">IF(AND(O69&lt;0,P69&lt;0,Q69&lt;0,R69&lt;0,S69&lt;0,T69&lt;0,U69&lt;0,V69&lt;0,W69&lt;0),MIN(O69:W69),SUMIF(O69:W69,"&gt;=0",O69:W69))</f>
        <v>6567</v>
      </c>
      <c r="O69">
        <v>319</v>
      </c>
      <c r="P69">
        <v>287</v>
      </c>
      <c r="Q69">
        <v>1402</v>
      </c>
      <c r="R69">
        <v>1211</v>
      </c>
      <c r="S69">
        <v>408</v>
      </c>
      <c r="T69">
        <v>873</v>
      </c>
      <c r="U69">
        <v>537</v>
      </c>
      <c r="V69">
        <v>270</v>
      </c>
      <c r="W69">
        <v>1260</v>
      </c>
      <c r="X69" s="12">
        <f>'standard variables'!AL69</f>
        <v>161113</v>
      </c>
      <c r="Y69">
        <v>8011</v>
      </c>
      <c r="Z69">
        <v>7734</v>
      </c>
      <c r="AA69">
        <v>35286</v>
      </c>
      <c r="AB69">
        <v>27916</v>
      </c>
      <c r="AC69">
        <v>10760</v>
      </c>
      <c r="AD69">
        <v>20800</v>
      </c>
      <c r="AE69">
        <v>13487</v>
      </c>
      <c r="AF69">
        <v>7449</v>
      </c>
      <c r="AG69">
        <v>29670</v>
      </c>
    </row>
    <row r="70" spans="1:33" ht="12.75">
      <c r="A70">
        <f t="shared" si="1"/>
        <v>1984</v>
      </c>
      <c r="B70" s="10" t="s">
        <v>120</v>
      </c>
      <c r="C70" s="9" t="s">
        <v>149</v>
      </c>
      <c r="D70">
        <f>'standard variables'!D70</f>
        <v>3604</v>
      </c>
      <c r="E70">
        <v>172</v>
      </c>
      <c r="F70">
        <v>146</v>
      </c>
      <c r="G70">
        <v>853</v>
      </c>
      <c r="H70">
        <v>625</v>
      </c>
      <c r="I70">
        <v>214</v>
      </c>
      <c r="J70">
        <v>517</v>
      </c>
      <c r="K70">
        <v>318</v>
      </c>
      <c r="L70">
        <v>164</v>
      </c>
      <c r="M70">
        <v>595</v>
      </c>
      <c r="N70">
        <f t="shared" si="2"/>
        <v>6694</v>
      </c>
      <c r="O70">
        <v>321</v>
      </c>
      <c r="P70">
        <v>290</v>
      </c>
      <c r="Q70">
        <v>1418</v>
      </c>
      <c r="R70">
        <v>1245</v>
      </c>
      <c r="S70">
        <v>420</v>
      </c>
      <c r="T70">
        <v>873</v>
      </c>
      <c r="U70">
        <v>551</v>
      </c>
      <c r="V70">
        <v>274</v>
      </c>
      <c r="W70">
        <v>1302</v>
      </c>
      <c r="X70" s="12">
        <f>'standard variables'!AL70</f>
        <v>167184</v>
      </c>
      <c r="Y70">
        <v>8255</v>
      </c>
      <c r="Z70">
        <v>7924</v>
      </c>
      <c r="AA70">
        <v>36839</v>
      </c>
      <c r="AB70">
        <v>29183</v>
      </c>
      <c r="AC70">
        <v>11299</v>
      </c>
      <c r="AD70">
        <v>21084</v>
      </c>
      <c r="AE70">
        <v>13981</v>
      </c>
      <c r="AF70">
        <v>7618</v>
      </c>
      <c r="AG70">
        <v>31001</v>
      </c>
    </row>
    <row r="71" spans="1:33" ht="12.75">
      <c r="A71">
        <f t="shared" si="1"/>
        <v>1985</v>
      </c>
      <c r="B71" s="10" t="s">
        <v>120</v>
      </c>
      <c r="C71" s="9" t="s">
        <v>149</v>
      </c>
      <c r="D71">
        <f>'standard variables'!D71</f>
        <v>3667</v>
      </c>
      <c r="E71">
        <v>172</v>
      </c>
      <c r="F71">
        <v>146</v>
      </c>
      <c r="G71">
        <v>880</v>
      </c>
      <c r="H71">
        <v>627</v>
      </c>
      <c r="I71">
        <v>214</v>
      </c>
      <c r="J71">
        <v>526</v>
      </c>
      <c r="K71">
        <v>326</v>
      </c>
      <c r="L71">
        <v>174</v>
      </c>
      <c r="M71">
        <v>602</v>
      </c>
      <c r="N71">
        <f t="shared" si="2"/>
        <v>6913</v>
      </c>
      <c r="O71">
        <v>330</v>
      </c>
      <c r="P71">
        <v>299</v>
      </c>
      <c r="Q71">
        <v>1471</v>
      </c>
      <c r="R71">
        <v>1280</v>
      </c>
      <c r="S71">
        <v>424</v>
      </c>
      <c r="T71">
        <v>894</v>
      </c>
      <c r="U71">
        <v>572</v>
      </c>
      <c r="V71">
        <v>286</v>
      </c>
      <c r="W71">
        <v>1357</v>
      </c>
      <c r="X71" s="12">
        <f>'standard variables'!AL71</f>
        <v>174982</v>
      </c>
      <c r="Y71">
        <v>8365</v>
      </c>
      <c r="Z71">
        <v>8155</v>
      </c>
      <c r="AA71">
        <v>38817</v>
      </c>
      <c r="AB71">
        <v>30865</v>
      </c>
      <c r="AC71">
        <v>11518</v>
      </c>
      <c r="AD71">
        <v>22064</v>
      </c>
      <c r="AE71">
        <v>14841</v>
      </c>
      <c r="AF71">
        <v>7990</v>
      </c>
      <c r="AG71">
        <v>32367</v>
      </c>
    </row>
    <row r="72" spans="1:33" ht="12.75">
      <c r="A72">
        <f aca="true" t="shared" si="3" ref="A72:A86">A71+1</f>
        <v>1986</v>
      </c>
      <c r="B72" s="10" t="s">
        <v>120</v>
      </c>
      <c r="C72" s="9" t="s">
        <v>149</v>
      </c>
      <c r="D72">
        <f>'standard variables'!D72</f>
        <v>3747</v>
      </c>
      <c r="E72">
        <v>172</v>
      </c>
      <c r="F72">
        <v>150</v>
      </c>
      <c r="G72">
        <v>896</v>
      </c>
      <c r="H72">
        <v>643</v>
      </c>
      <c r="I72">
        <v>214</v>
      </c>
      <c r="J72">
        <v>546</v>
      </c>
      <c r="K72">
        <v>334</v>
      </c>
      <c r="L72">
        <v>177</v>
      </c>
      <c r="M72">
        <v>615</v>
      </c>
      <c r="N72">
        <f t="shared" si="2"/>
        <v>7138</v>
      </c>
      <c r="O72">
        <v>344</v>
      </c>
      <c r="P72">
        <v>307</v>
      </c>
      <c r="Q72">
        <v>1510</v>
      </c>
      <c r="R72">
        <v>1333</v>
      </c>
      <c r="S72">
        <v>443</v>
      </c>
      <c r="T72">
        <v>933</v>
      </c>
      <c r="U72">
        <v>585</v>
      </c>
      <c r="V72">
        <v>289</v>
      </c>
      <c r="W72">
        <v>1394</v>
      </c>
      <c r="X72" s="12">
        <f>'standard variables'!AL72</f>
        <v>182718</v>
      </c>
      <c r="Y72">
        <v>8598</v>
      </c>
      <c r="Z72">
        <v>8446</v>
      </c>
      <c r="AA72">
        <v>40168</v>
      </c>
      <c r="AB72">
        <v>32678</v>
      </c>
      <c r="AC72">
        <v>12013</v>
      </c>
      <c r="AD72">
        <v>23425</v>
      </c>
      <c r="AE72">
        <v>15557</v>
      </c>
      <c r="AF72">
        <v>8226</v>
      </c>
      <c r="AG72">
        <v>33607</v>
      </c>
    </row>
    <row r="73" spans="1:33" ht="12.75">
      <c r="A73">
        <f t="shared" si="3"/>
        <v>1987</v>
      </c>
      <c r="B73" s="10" t="s">
        <v>120</v>
      </c>
      <c r="C73" s="9" t="s">
        <v>149</v>
      </c>
      <c r="D73">
        <f>'standard variables'!D73</f>
        <v>3790</v>
      </c>
      <c r="E73">
        <v>174</v>
      </c>
      <c r="F73">
        <v>152</v>
      </c>
      <c r="G73">
        <v>905</v>
      </c>
      <c r="H73">
        <v>644</v>
      </c>
      <c r="I73">
        <v>220</v>
      </c>
      <c r="J73">
        <v>551</v>
      </c>
      <c r="K73">
        <v>343</v>
      </c>
      <c r="L73">
        <v>182</v>
      </c>
      <c r="M73">
        <v>619</v>
      </c>
      <c r="N73">
        <f t="shared" si="2"/>
        <v>7311</v>
      </c>
      <c r="O73">
        <v>348</v>
      </c>
      <c r="P73">
        <v>318</v>
      </c>
      <c r="Q73">
        <v>1548</v>
      </c>
      <c r="R73">
        <v>1362</v>
      </c>
      <c r="S73">
        <v>465</v>
      </c>
      <c r="T73">
        <v>955</v>
      </c>
      <c r="U73">
        <v>601</v>
      </c>
      <c r="V73">
        <v>299</v>
      </c>
      <c r="W73">
        <v>1415</v>
      </c>
      <c r="X73" s="12">
        <f>'standard variables'!AL73</f>
        <v>184271</v>
      </c>
      <c r="Y73">
        <v>8632</v>
      </c>
      <c r="Z73">
        <v>8269</v>
      </c>
      <c r="AA73">
        <v>40664</v>
      </c>
      <c r="AB73">
        <v>32778</v>
      </c>
      <c r="AC73">
        <v>12209</v>
      </c>
      <c r="AD73">
        <v>23799</v>
      </c>
      <c r="AE73">
        <v>15674</v>
      </c>
      <c r="AF73">
        <v>8472</v>
      </c>
      <c r="AG73">
        <v>33774</v>
      </c>
    </row>
    <row r="74" spans="1:33" ht="12.75">
      <c r="A74">
        <f t="shared" si="3"/>
        <v>1988</v>
      </c>
      <c r="B74" s="10" t="s">
        <v>120</v>
      </c>
      <c r="C74" s="9" t="s">
        <v>149</v>
      </c>
      <c r="D74">
        <f>'standard variables'!D74</f>
        <v>3828</v>
      </c>
      <c r="E74">
        <v>172</v>
      </c>
      <c r="F74">
        <v>159</v>
      </c>
      <c r="G74">
        <v>923</v>
      </c>
      <c r="H74">
        <v>641</v>
      </c>
      <c r="I74">
        <v>224</v>
      </c>
      <c r="J74">
        <v>557</v>
      </c>
      <c r="K74">
        <v>351</v>
      </c>
      <c r="L74">
        <v>181</v>
      </c>
      <c r="M74">
        <v>620</v>
      </c>
      <c r="N74">
        <f t="shared" si="2"/>
        <v>7442</v>
      </c>
      <c r="O74">
        <v>349</v>
      </c>
      <c r="P74">
        <v>333</v>
      </c>
      <c r="Q74">
        <v>1586</v>
      </c>
      <c r="R74">
        <v>1381</v>
      </c>
      <c r="S74">
        <v>476</v>
      </c>
      <c r="T74">
        <v>968</v>
      </c>
      <c r="U74">
        <v>622</v>
      </c>
      <c r="V74">
        <v>302</v>
      </c>
      <c r="W74">
        <v>1425</v>
      </c>
      <c r="X74" s="12">
        <f>'standard variables'!AL74</f>
        <v>184006</v>
      </c>
      <c r="Y74">
        <v>8591</v>
      </c>
      <c r="Z74">
        <v>8581</v>
      </c>
      <c r="AA74">
        <v>41006</v>
      </c>
      <c r="AB74">
        <v>32557</v>
      </c>
      <c r="AC74">
        <v>11967</v>
      </c>
      <c r="AD74">
        <v>23656</v>
      </c>
      <c r="AE74">
        <v>15407</v>
      </c>
      <c r="AF74">
        <v>8389</v>
      </c>
      <c r="AG74">
        <v>33862</v>
      </c>
    </row>
    <row r="75" spans="1:33" ht="12.75">
      <c r="A75">
        <f t="shared" si="3"/>
        <v>1989</v>
      </c>
      <c r="B75" s="10" t="s">
        <v>120</v>
      </c>
      <c r="C75" s="9" t="s">
        <v>149</v>
      </c>
      <c r="D75">
        <f>'standard variables'!D75</f>
        <v>3876</v>
      </c>
      <c r="E75">
        <v>174</v>
      </c>
      <c r="F75">
        <v>162</v>
      </c>
      <c r="G75">
        <v>940</v>
      </c>
      <c r="H75">
        <v>640</v>
      </c>
      <c r="I75">
        <v>228</v>
      </c>
      <c r="J75">
        <v>565</v>
      </c>
      <c r="K75">
        <v>360</v>
      </c>
      <c r="L75">
        <v>181</v>
      </c>
      <c r="M75">
        <v>626</v>
      </c>
      <c r="N75">
        <f t="shared" si="2"/>
        <v>7577</v>
      </c>
      <c r="O75">
        <v>352</v>
      </c>
      <c r="P75">
        <v>341</v>
      </c>
      <c r="Q75">
        <v>1637</v>
      </c>
      <c r="R75">
        <v>1397</v>
      </c>
      <c r="S75">
        <v>489</v>
      </c>
      <c r="T75">
        <v>981</v>
      </c>
      <c r="U75">
        <v>630</v>
      </c>
      <c r="V75">
        <v>306</v>
      </c>
      <c r="W75">
        <v>1444</v>
      </c>
      <c r="X75" s="12">
        <f>'standard variables'!AL75</f>
        <v>184027</v>
      </c>
      <c r="Y75">
        <v>8547</v>
      </c>
      <c r="Z75">
        <v>8853</v>
      </c>
      <c r="AA75">
        <v>40624</v>
      </c>
      <c r="AB75">
        <v>32962</v>
      </c>
      <c r="AC75">
        <v>11967</v>
      </c>
      <c r="AD75">
        <v>23447</v>
      </c>
      <c r="AE75">
        <v>15465</v>
      </c>
      <c r="AF75">
        <v>8383</v>
      </c>
      <c r="AG75">
        <v>33779</v>
      </c>
    </row>
    <row r="76" spans="1:33" ht="12.75">
      <c r="A76">
        <f t="shared" si="3"/>
        <v>1990</v>
      </c>
      <c r="B76" s="10" t="s">
        <v>120</v>
      </c>
      <c r="C76" s="9" t="s">
        <v>149</v>
      </c>
      <c r="D76">
        <f>'standard variables'!D76</f>
        <v>3915</v>
      </c>
      <c r="E76">
        <v>179</v>
      </c>
      <c r="F76">
        <v>167</v>
      </c>
      <c r="G76">
        <v>948</v>
      </c>
      <c r="H76">
        <v>646</v>
      </c>
      <c r="I76">
        <v>231</v>
      </c>
      <c r="J76">
        <v>563</v>
      </c>
      <c r="K76">
        <v>365</v>
      </c>
      <c r="L76">
        <v>184</v>
      </c>
      <c r="M76">
        <v>632</v>
      </c>
      <c r="N76">
        <f t="shared" si="2"/>
        <v>7764</v>
      </c>
      <c r="O76">
        <v>365</v>
      </c>
      <c r="P76">
        <v>351</v>
      </c>
      <c r="Q76">
        <v>1680</v>
      </c>
      <c r="R76">
        <v>1432</v>
      </c>
      <c r="S76">
        <v>505</v>
      </c>
      <c r="T76">
        <v>995</v>
      </c>
      <c r="U76">
        <v>643</v>
      </c>
      <c r="V76">
        <v>315</v>
      </c>
      <c r="W76">
        <v>1478</v>
      </c>
      <c r="X76" s="12">
        <f>'standard variables'!AL76</f>
        <v>185247</v>
      </c>
      <c r="Y76">
        <v>8156</v>
      </c>
      <c r="Z76">
        <v>9044</v>
      </c>
      <c r="AA76">
        <v>40987</v>
      </c>
      <c r="AB76">
        <v>33521</v>
      </c>
      <c r="AC76">
        <v>12040</v>
      </c>
      <c r="AD76">
        <v>23556</v>
      </c>
      <c r="AE76">
        <v>15581</v>
      </c>
      <c r="AF76">
        <v>8340</v>
      </c>
      <c r="AG76">
        <v>34022</v>
      </c>
    </row>
    <row r="77" spans="1:33" ht="12.75">
      <c r="A77">
        <f t="shared" si="3"/>
        <v>1991</v>
      </c>
      <c r="B77" s="10" t="s">
        <v>120</v>
      </c>
      <c r="C77" s="9" t="s">
        <v>149</v>
      </c>
      <c r="D77">
        <f>'standard variables'!D77</f>
        <v>3983</v>
      </c>
      <c r="E77">
        <v>181</v>
      </c>
      <c r="F77">
        <v>172</v>
      </c>
      <c r="G77">
        <v>968</v>
      </c>
      <c r="H77">
        <v>666</v>
      </c>
      <c r="I77">
        <v>230</v>
      </c>
      <c r="J77">
        <v>573</v>
      </c>
      <c r="K77">
        <v>376</v>
      </c>
      <c r="L77">
        <v>184</v>
      </c>
      <c r="M77">
        <v>633</v>
      </c>
      <c r="N77">
        <f t="shared" si="2"/>
        <v>8000</v>
      </c>
      <c r="O77">
        <v>367</v>
      </c>
      <c r="P77">
        <v>369</v>
      </c>
      <c r="Q77">
        <v>1738</v>
      </c>
      <c r="R77">
        <v>1483</v>
      </c>
      <c r="S77">
        <v>521</v>
      </c>
      <c r="T77">
        <v>1022</v>
      </c>
      <c r="U77">
        <v>672</v>
      </c>
      <c r="V77">
        <v>326</v>
      </c>
      <c r="W77">
        <v>1502</v>
      </c>
      <c r="X77" s="12">
        <f>'standard variables'!AL77</f>
        <v>187031</v>
      </c>
      <c r="Y77">
        <v>8111</v>
      </c>
      <c r="Z77">
        <v>8764</v>
      </c>
      <c r="AA77">
        <v>41995</v>
      </c>
      <c r="AB77">
        <v>34203</v>
      </c>
      <c r="AC77">
        <v>12215</v>
      </c>
      <c r="AD77">
        <v>23744</v>
      </c>
      <c r="AE77">
        <v>15440</v>
      </c>
      <c r="AF77">
        <v>8153</v>
      </c>
      <c r="AG77">
        <v>34406</v>
      </c>
    </row>
    <row r="78" spans="1:33" ht="12.75">
      <c r="A78">
        <f t="shared" si="3"/>
        <v>1992</v>
      </c>
      <c r="B78" s="10" t="s">
        <v>120</v>
      </c>
      <c r="C78" s="9" t="s">
        <v>149</v>
      </c>
      <c r="D78">
        <f>'standard variables'!D78</f>
        <v>4084</v>
      </c>
      <c r="E78">
        <v>181</v>
      </c>
      <c r="F78">
        <v>187</v>
      </c>
      <c r="G78">
        <v>976</v>
      </c>
      <c r="H78">
        <v>683</v>
      </c>
      <c r="I78">
        <v>235</v>
      </c>
      <c r="J78">
        <v>600</v>
      </c>
      <c r="K78">
        <v>384</v>
      </c>
      <c r="L78">
        <v>194</v>
      </c>
      <c r="M78">
        <v>644</v>
      </c>
      <c r="N78">
        <f t="shared" si="2"/>
        <v>8299</v>
      </c>
      <c r="O78">
        <v>376</v>
      </c>
      <c r="P78">
        <v>401</v>
      </c>
      <c r="Q78">
        <v>1774</v>
      </c>
      <c r="R78">
        <v>1550</v>
      </c>
      <c r="S78">
        <v>546</v>
      </c>
      <c r="T78">
        <v>1061</v>
      </c>
      <c r="U78">
        <v>703</v>
      </c>
      <c r="V78">
        <v>345</v>
      </c>
      <c r="W78">
        <v>1543</v>
      </c>
      <c r="X78" s="12">
        <f>'standard variables'!AL78</f>
        <v>192719</v>
      </c>
      <c r="Y78">
        <v>8158</v>
      </c>
      <c r="Z78">
        <v>9322</v>
      </c>
      <c r="AA78">
        <v>42812</v>
      </c>
      <c r="AB78">
        <v>35957</v>
      </c>
      <c r="AC78">
        <v>12492</v>
      </c>
      <c r="AD78">
        <v>24491</v>
      </c>
      <c r="AE78">
        <v>15742</v>
      </c>
      <c r="AF78">
        <v>8400</v>
      </c>
      <c r="AG78">
        <v>35345</v>
      </c>
    </row>
    <row r="79" spans="1:33" ht="12.75">
      <c r="A79">
        <f t="shared" si="3"/>
        <v>1993</v>
      </c>
      <c r="B79" s="10" t="s">
        <v>120</v>
      </c>
      <c r="C79" s="9" t="s">
        <v>149</v>
      </c>
      <c r="D79">
        <f>'standard variables'!D79</f>
        <v>4212</v>
      </c>
      <c r="E79">
        <v>182</v>
      </c>
      <c r="F79">
        <v>197</v>
      </c>
      <c r="G79">
        <v>999</v>
      </c>
      <c r="H79">
        <v>697</v>
      </c>
      <c r="I79">
        <v>236</v>
      </c>
      <c r="J79">
        <v>632</v>
      </c>
      <c r="K79">
        <v>390</v>
      </c>
      <c r="L79">
        <v>201</v>
      </c>
      <c r="M79">
        <v>678</v>
      </c>
      <c r="N79">
        <f t="shared" si="2"/>
        <v>8666</v>
      </c>
      <c r="O79">
        <v>380</v>
      </c>
      <c r="P79">
        <v>427</v>
      </c>
      <c r="Q79">
        <v>1846</v>
      </c>
      <c r="R79">
        <v>1609</v>
      </c>
      <c r="S79">
        <v>568</v>
      </c>
      <c r="T79">
        <v>1111</v>
      </c>
      <c r="U79">
        <v>732</v>
      </c>
      <c r="V79">
        <v>370</v>
      </c>
      <c r="W79">
        <v>1623</v>
      </c>
      <c r="X79" s="12">
        <f>'standard variables'!AL79</f>
        <v>199928</v>
      </c>
      <c r="Y79">
        <v>8350</v>
      </c>
      <c r="Z79">
        <v>9910</v>
      </c>
      <c r="AA79">
        <v>44447</v>
      </c>
      <c r="AB79">
        <v>37192</v>
      </c>
      <c r="AC79">
        <v>12871</v>
      </c>
      <c r="AD79">
        <v>25283</v>
      </c>
      <c r="AE79">
        <v>16218</v>
      </c>
      <c r="AF79">
        <v>8802</v>
      </c>
      <c r="AG79">
        <v>36855</v>
      </c>
    </row>
    <row r="80" spans="1:33" ht="12.75">
      <c r="A80">
        <f t="shared" si="3"/>
        <v>1994</v>
      </c>
      <c r="B80" s="10" t="s">
        <v>120</v>
      </c>
      <c r="C80" s="9" t="s">
        <v>149</v>
      </c>
      <c r="D80">
        <f>'standard variables'!D80</f>
        <v>4308</v>
      </c>
      <c r="E80">
        <v>184</v>
      </c>
      <c r="F80">
        <v>208</v>
      </c>
      <c r="G80">
        <v>1024</v>
      </c>
      <c r="H80">
        <v>706</v>
      </c>
      <c r="I80">
        <v>241</v>
      </c>
      <c r="J80">
        <v>657</v>
      </c>
      <c r="K80">
        <v>397</v>
      </c>
      <c r="L80">
        <v>208</v>
      </c>
      <c r="M80">
        <v>683</v>
      </c>
      <c r="N80">
        <f t="shared" si="2"/>
        <v>9065</v>
      </c>
      <c r="O80">
        <v>388</v>
      </c>
      <c r="P80">
        <v>455</v>
      </c>
      <c r="Q80">
        <v>1909</v>
      </c>
      <c r="R80">
        <v>1688</v>
      </c>
      <c r="S80">
        <v>616</v>
      </c>
      <c r="T80">
        <v>1175</v>
      </c>
      <c r="U80">
        <v>775</v>
      </c>
      <c r="V80">
        <v>402</v>
      </c>
      <c r="W80">
        <v>1657</v>
      </c>
      <c r="X80" s="12">
        <f>'standard variables'!AL80</f>
        <v>205831</v>
      </c>
      <c r="Y80">
        <v>8429</v>
      </c>
      <c r="Z80">
        <v>10452</v>
      </c>
      <c r="AA80">
        <v>45983</v>
      </c>
      <c r="AB80">
        <v>37988</v>
      </c>
      <c r="AC80">
        <v>13393</v>
      </c>
      <c r="AD80">
        <v>26429</v>
      </c>
      <c r="AE80">
        <v>16703</v>
      </c>
      <c r="AF80">
        <v>9074</v>
      </c>
      <c r="AG80">
        <v>37380</v>
      </c>
    </row>
    <row r="81" spans="1:33" ht="12.75">
      <c r="A81">
        <f t="shared" si="3"/>
        <v>1995</v>
      </c>
      <c r="B81" s="10" t="s">
        <v>120</v>
      </c>
      <c r="C81" s="9" t="s">
        <v>149</v>
      </c>
      <c r="D81">
        <f>'standard variables'!D81</f>
        <v>4378</v>
      </c>
      <c r="E81">
        <v>187</v>
      </c>
      <c r="F81">
        <v>215</v>
      </c>
      <c r="G81">
        <v>1039</v>
      </c>
      <c r="H81">
        <v>711</v>
      </c>
      <c r="I81">
        <v>244</v>
      </c>
      <c r="J81">
        <v>672</v>
      </c>
      <c r="K81">
        <v>403</v>
      </c>
      <c r="L81">
        <v>211</v>
      </c>
      <c r="M81">
        <v>696</v>
      </c>
      <c r="N81">
        <f t="shared" si="2"/>
        <v>9362</v>
      </c>
      <c r="O81">
        <v>395</v>
      </c>
      <c r="P81">
        <v>478</v>
      </c>
      <c r="Q81">
        <v>1965</v>
      </c>
      <c r="R81">
        <v>1747</v>
      </c>
      <c r="S81">
        <v>625</v>
      </c>
      <c r="T81">
        <v>1205</v>
      </c>
      <c r="U81">
        <v>817</v>
      </c>
      <c r="V81">
        <v>423</v>
      </c>
      <c r="W81">
        <v>1707</v>
      </c>
      <c r="X81" s="12">
        <f>'standard variables'!AL81</f>
        <v>210940</v>
      </c>
      <c r="Y81">
        <v>8449</v>
      </c>
      <c r="Z81">
        <v>10950</v>
      </c>
      <c r="AA81">
        <v>47280</v>
      </c>
      <c r="AB81">
        <v>39115</v>
      </c>
      <c r="AC81">
        <v>13560</v>
      </c>
      <c r="AD81">
        <v>27120</v>
      </c>
      <c r="AE81">
        <v>17220</v>
      </c>
      <c r="AF81">
        <v>9151</v>
      </c>
      <c r="AG81">
        <v>38095</v>
      </c>
    </row>
    <row r="82" spans="1:33" ht="12.75">
      <c r="A82">
        <f t="shared" si="3"/>
        <v>1996</v>
      </c>
      <c r="B82" s="10" t="s">
        <v>120</v>
      </c>
      <c r="C82" s="9" t="s">
        <v>149</v>
      </c>
      <c r="D82">
        <f>'standard variables'!D82</f>
        <v>4467</v>
      </c>
      <c r="E82">
        <v>189</v>
      </c>
      <c r="F82">
        <v>219</v>
      </c>
      <c r="G82">
        <v>1055</v>
      </c>
      <c r="H82">
        <v>712</v>
      </c>
      <c r="I82">
        <v>250</v>
      </c>
      <c r="J82">
        <v>701</v>
      </c>
      <c r="K82">
        <v>409</v>
      </c>
      <c r="L82">
        <v>216</v>
      </c>
      <c r="M82">
        <v>716</v>
      </c>
      <c r="N82">
        <f t="shared" si="2"/>
        <v>9662</v>
      </c>
      <c r="O82">
        <v>404</v>
      </c>
      <c r="P82">
        <v>487</v>
      </c>
      <c r="Q82">
        <v>2016</v>
      </c>
      <c r="R82">
        <v>1779</v>
      </c>
      <c r="S82">
        <v>655</v>
      </c>
      <c r="T82">
        <v>1258</v>
      </c>
      <c r="U82">
        <v>854</v>
      </c>
      <c r="V82">
        <v>434</v>
      </c>
      <c r="W82">
        <v>1775</v>
      </c>
      <c r="X82" s="12">
        <f>'standard variables'!AL82</f>
        <v>215820</v>
      </c>
      <c r="Y82">
        <v>8459</v>
      </c>
      <c r="Z82">
        <v>11104</v>
      </c>
      <c r="AA82">
        <v>47903</v>
      </c>
      <c r="AB82">
        <v>39736</v>
      </c>
      <c r="AC82">
        <v>14002</v>
      </c>
      <c r="AD82">
        <v>28236</v>
      </c>
      <c r="AE82">
        <v>17826</v>
      </c>
      <c r="AF82">
        <v>9407</v>
      </c>
      <c r="AG82">
        <v>39164</v>
      </c>
    </row>
    <row r="83" spans="1:33" ht="12.75">
      <c r="A83">
        <f t="shared" si="3"/>
        <v>1997</v>
      </c>
      <c r="B83" s="10" t="s">
        <v>120</v>
      </c>
      <c r="C83" s="9" t="s">
        <v>149</v>
      </c>
      <c r="D83">
        <f>'standard variables'!D83</f>
        <v>-2</v>
      </c>
      <c r="E83">
        <v>-2</v>
      </c>
      <c r="F83">
        <v>-2</v>
      </c>
      <c r="G83">
        <v>-2</v>
      </c>
      <c r="H83">
        <v>-2</v>
      </c>
      <c r="I83">
        <v>-2</v>
      </c>
      <c r="J83">
        <v>-2</v>
      </c>
      <c r="K83">
        <v>-2</v>
      </c>
      <c r="L83">
        <v>-2</v>
      </c>
      <c r="M83">
        <v>-2</v>
      </c>
      <c r="N83">
        <f t="shared" si="2"/>
        <v>-2</v>
      </c>
      <c r="O83">
        <v>-2</v>
      </c>
      <c r="P83">
        <v>-2</v>
      </c>
      <c r="Q83">
        <v>-2</v>
      </c>
      <c r="R83">
        <v>-2</v>
      </c>
      <c r="S83">
        <v>-2</v>
      </c>
      <c r="T83">
        <v>-2</v>
      </c>
      <c r="U83">
        <v>-2</v>
      </c>
      <c r="V83">
        <v>-2</v>
      </c>
      <c r="W83">
        <v>-2</v>
      </c>
      <c r="X83" s="12">
        <f>'standard variables'!AL83</f>
        <v>-2</v>
      </c>
      <c r="Y83">
        <v>-2</v>
      </c>
      <c r="Z83">
        <v>-2</v>
      </c>
      <c r="AA83">
        <v>-2</v>
      </c>
      <c r="AB83">
        <v>-2</v>
      </c>
      <c r="AC83">
        <v>-2</v>
      </c>
      <c r="AD83">
        <v>-2</v>
      </c>
      <c r="AE83">
        <v>-2</v>
      </c>
      <c r="AF83">
        <v>-2</v>
      </c>
      <c r="AG83">
        <v>-2</v>
      </c>
    </row>
    <row r="84" spans="1:33" ht="12.75">
      <c r="A84">
        <f t="shared" si="3"/>
        <v>1998</v>
      </c>
      <c r="B84" s="10" t="s">
        <v>120</v>
      </c>
      <c r="C84" s="9" t="s">
        <v>149</v>
      </c>
      <c r="D84">
        <f>'standard variables'!D84</f>
        <v>-2</v>
      </c>
      <c r="E84">
        <v>-2</v>
      </c>
      <c r="F84">
        <v>-2</v>
      </c>
      <c r="G84">
        <v>-2</v>
      </c>
      <c r="H84">
        <v>-2</v>
      </c>
      <c r="I84">
        <v>-2</v>
      </c>
      <c r="J84">
        <v>-2</v>
      </c>
      <c r="K84">
        <v>-2</v>
      </c>
      <c r="L84">
        <v>-2</v>
      </c>
      <c r="M84">
        <v>-2</v>
      </c>
      <c r="N84">
        <f t="shared" si="2"/>
        <v>-2</v>
      </c>
      <c r="O84">
        <v>-2</v>
      </c>
      <c r="P84">
        <v>-2</v>
      </c>
      <c r="Q84">
        <v>-2</v>
      </c>
      <c r="R84">
        <v>-2</v>
      </c>
      <c r="S84">
        <v>-2</v>
      </c>
      <c r="T84">
        <v>-2</v>
      </c>
      <c r="U84">
        <v>-2</v>
      </c>
      <c r="V84">
        <v>-2</v>
      </c>
      <c r="W84">
        <v>-2</v>
      </c>
      <c r="X84" s="12">
        <f>'standard variables'!AL84</f>
        <v>-2</v>
      </c>
      <c r="Y84">
        <v>-2</v>
      </c>
      <c r="Z84">
        <v>-2</v>
      </c>
      <c r="AA84">
        <v>-2</v>
      </c>
      <c r="AB84">
        <v>-2</v>
      </c>
      <c r="AC84">
        <v>-2</v>
      </c>
      <c r="AD84">
        <v>-2</v>
      </c>
      <c r="AE84">
        <v>-2</v>
      </c>
      <c r="AF84">
        <v>-2</v>
      </c>
      <c r="AG84">
        <v>-2</v>
      </c>
    </row>
    <row r="85" spans="1:33" ht="12.75">
      <c r="A85">
        <f t="shared" si="3"/>
        <v>1999</v>
      </c>
      <c r="B85" s="10" t="s">
        <v>120</v>
      </c>
      <c r="C85" s="9" t="s">
        <v>149</v>
      </c>
      <c r="D85">
        <f>'standard variables'!D85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f t="shared" si="2"/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 s="12">
        <f>'standard variables'!AL85</f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</row>
    <row r="86" spans="1:33" ht="12.75">
      <c r="A86">
        <f t="shared" si="3"/>
        <v>2000</v>
      </c>
      <c r="B86" s="10" t="s">
        <v>120</v>
      </c>
      <c r="C86" s="9" t="s">
        <v>149</v>
      </c>
      <c r="D86">
        <f>'standard variables'!D86</f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f t="shared" si="2"/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 s="12">
        <f>'standard variables'!AL86</f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2:4" ht="12.75">
      <c r="B87" s="10"/>
      <c r="C87" s="9"/>
      <c r="D87" s="9"/>
    </row>
    <row r="88" spans="2:4" ht="12.75">
      <c r="B88" s="10"/>
      <c r="C88" s="9"/>
      <c r="D88" s="9"/>
    </row>
    <row r="89" spans="2:4" ht="12.75">
      <c r="B89" s="10"/>
      <c r="C89" s="9"/>
      <c r="D89" s="9"/>
    </row>
    <row r="90" spans="2:4" ht="12.75">
      <c r="B90" s="10"/>
      <c r="C90" s="9"/>
      <c r="D90" s="9"/>
    </row>
    <row r="91" spans="2:4" ht="12.75">
      <c r="B91" s="10"/>
      <c r="C91" s="9"/>
      <c r="D91" s="9"/>
    </row>
    <row r="92" spans="2:4" ht="12.75">
      <c r="B92" s="10"/>
      <c r="C92" s="9"/>
      <c r="D92" s="9"/>
    </row>
    <row r="93" spans="2:4" ht="12.75">
      <c r="B93" s="10"/>
      <c r="C93" s="9"/>
      <c r="D93" s="9"/>
    </row>
    <row r="94" spans="2:4" ht="12.75">
      <c r="B94" s="10"/>
      <c r="C94" s="9"/>
      <c r="D94" s="9"/>
    </row>
    <row r="95" spans="2:4" ht="12.75">
      <c r="B95" s="10"/>
      <c r="C95" s="9"/>
      <c r="D95" s="9"/>
    </row>
    <row r="96" spans="2:4" ht="12.75">
      <c r="B96" s="10"/>
      <c r="C96" s="9"/>
      <c r="D96" s="9"/>
    </row>
    <row r="97" spans="2:4" ht="12.75">
      <c r="B97" s="10"/>
      <c r="C97" s="9"/>
      <c r="D97" s="9"/>
    </row>
    <row r="98" spans="2:4" ht="12.75">
      <c r="B98" s="10"/>
      <c r="C98" s="9"/>
      <c r="D98" s="9"/>
    </row>
    <row r="99" spans="2:4" ht="12.75">
      <c r="B99" s="10"/>
      <c r="C99" s="9"/>
      <c r="D99" s="9"/>
    </row>
    <row r="100" spans="2:4" ht="12.75">
      <c r="B100" s="10"/>
      <c r="C100" s="9"/>
      <c r="D100" s="9"/>
    </row>
    <row r="101" spans="2:4" ht="12.75">
      <c r="B101" s="10"/>
      <c r="C101" s="9"/>
      <c r="D101" s="9"/>
    </row>
    <row r="102" spans="2:4" ht="12.75">
      <c r="B102" s="10"/>
      <c r="C102" s="9"/>
      <c r="D102" s="9"/>
    </row>
    <row r="103" spans="2:4" ht="12.75">
      <c r="B103" s="10"/>
      <c r="C103" s="9"/>
      <c r="D103" s="9"/>
    </row>
    <row r="104" spans="2:4" ht="12.75">
      <c r="B104" s="10"/>
      <c r="C104" s="9"/>
      <c r="D104" s="9"/>
    </row>
    <row r="105" spans="2:4" ht="12.75">
      <c r="B105" s="10"/>
      <c r="C105" s="9"/>
      <c r="D105" s="9"/>
    </row>
    <row r="106" spans="2:4" ht="12.75">
      <c r="B106" s="10"/>
      <c r="C106" s="9"/>
      <c r="D106" s="9"/>
    </row>
    <row r="107" spans="2:4" ht="12.75">
      <c r="B107" s="10"/>
      <c r="C107" s="9"/>
      <c r="D107" s="9"/>
    </row>
    <row r="108" spans="2:4" ht="12.75">
      <c r="B108" s="10"/>
      <c r="C108" s="9"/>
      <c r="D108" s="9"/>
    </row>
    <row r="109" spans="2:4" ht="12.75">
      <c r="B109" s="10"/>
      <c r="C109" s="9"/>
      <c r="D109" s="9"/>
    </row>
    <row r="110" spans="2:4" ht="12.75">
      <c r="B110" s="10"/>
      <c r="C110" s="9"/>
      <c r="D110" s="9"/>
    </row>
    <row r="111" spans="2:4" ht="12.75">
      <c r="B111" s="10"/>
      <c r="C111" s="9"/>
      <c r="D111" s="9"/>
    </row>
    <row r="112" spans="2:4" ht="12.75">
      <c r="B112" s="10"/>
      <c r="C112" s="9"/>
      <c r="D112" s="9"/>
    </row>
    <row r="113" spans="2:4" ht="12.75">
      <c r="B113" s="10"/>
      <c r="C113" s="9"/>
      <c r="D113" s="9"/>
    </row>
    <row r="114" spans="2:4" ht="12.75">
      <c r="B114" s="10"/>
      <c r="C114" s="9"/>
      <c r="D114" s="9"/>
    </row>
    <row r="115" spans="2:4" ht="12.75">
      <c r="B115" s="10"/>
      <c r="C115" s="9"/>
      <c r="D115" s="9"/>
    </row>
    <row r="116" spans="2:4" ht="12.75">
      <c r="B116" s="10"/>
      <c r="C116" s="9"/>
      <c r="D116" s="9"/>
    </row>
    <row r="117" spans="2:4" ht="12.75">
      <c r="B117" s="10"/>
      <c r="C117" s="9"/>
      <c r="D117" s="9"/>
    </row>
    <row r="118" spans="2:4" ht="12.75">
      <c r="B118" s="10"/>
      <c r="C118" s="9"/>
      <c r="D118" s="9"/>
    </row>
    <row r="119" spans="2:4" ht="12.75">
      <c r="B119" s="10"/>
      <c r="C119" s="9"/>
      <c r="D119" s="9"/>
    </row>
    <row r="120" spans="2:4" ht="12.75">
      <c r="B120" s="10"/>
      <c r="C120" s="9"/>
      <c r="D120" s="9"/>
    </row>
    <row r="121" spans="2:4" ht="12.75">
      <c r="B121" s="10"/>
      <c r="C121" s="9"/>
      <c r="D121" s="9"/>
    </row>
    <row r="122" spans="2:4" ht="12.75">
      <c r="B122" s="10"/>
      <c r="C122" s="9"/>
      <c r="D122" s="9"/>
    </row>
    <row r="123" spans="2:4" ht="12.75">
      <c r="B123" s="10"/>
      <c r="C123" s="9"/>
      <c r="D123" s="9"/>
    </row>
    <row r="124" spans="2:4" ht="12.75">
      <c r="B124" s="10"/>
      <c r="C124" s="9"/>
      <c r="D124" s="9"/>
    </row>
    <row r="125" spans="2:4" ht="12.75">
      <c r="B125" s="10"/>
      <c r="C125" s="9"/>
      <c r="D125" s="9"/>
    </row>
    <row r="126" spans="2:4" ht="12.75">
      <c r="B126" s="10"/>
      <c r="C126" s="9"/>
      <c r="D126" s="9"/>
    </row>
    <row r="127" spans="2:4" ht="12.75">
      <c r="B127" s="10"/>
      <c r="C127" s="9"/>
      <c r="D127" s="9"/>
    </row>
    <row r="128" spans="2:4" ht="12.75">
      <c r="B128" s="10"/>
      <c r="C128" s="9"/>
      <c r="D128" s="9"/>
    </row>
    <row r="129" spans="2:4" ht="12.75">
      <c r="B129" s="10"/>
      <c r="C129" s="9"/>
      <c r="D129" s="9"/>
    </row>
    <row r="130" spans="2:4" ht="12.75">
      <c r="B130" s="10"/>
      <c r="C130" s="9"/>
      <c r="D130" s="9"/>
    </row>
    <row r="131" spans="2:4" ht="12.75">
      <c r="B131" s="10"/>
      <c r="C131" s="9"/>
      <c r="D131" s="9"/>
    </row>
    <row r="132" spans="2:4" ht="12.75">
      <c r="B132" s="10"/>
      <c r="C132" s="9"/>
      <c r="D132" s="9"/>
    </row>
    <row r="133" spans="2:4" ht="12.75">
      <c r="B133" s="10"/>
      <c r="C133" s="9"/>
      <c r="D133" s="9"/>
    </row>
    <row r="134" spans="2:4" ht="12.75">
      <c r="B134" s="10"/>
      <c r="C134" s="9"/>
      <c r="D134" s="9"/>
    </row>
    <row r="135" spans="2:4" ht="12.75">
      <c r="B135" s="10"/>
      <c r="C135" s="9"/>
      <c r="D135" s="9"/>
    </row>
    <row r="136" spans="2:4" ht="12.75">
      <c r="B136" s="10"/>
      <c r="C136" s="9"/>
      <c r="D136" s="9"/>
    </row>
  </sheetData>
  <printOptions gridLines="1"/>
  <pageMargins left="0.75" right="0.75" top="1" bottom="1" header="0.511811023" footer="0.511811023"/>
  <pageSetup cellComments="atEnd" horizontalDpi="600" verticalDpi="600" orientation="portrait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MZES</dc:creator>
  <cp:keywords/>
  <dc:description/>
  <cp:lastModifiedBy>maucher</cp:lastModifiedBy>
  <cp:lastPrinted>1999-03-23T15:30:44Z</cp:lastPrinted>
  <dcterms:created xsi:type="dcterms:W3CDTF">1997-08-22T14:23:48Z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